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75" windowWidth="14355" windowHeight="7995" activeTab="0"/>
  </bookViews>
  <sheets>
    <sheet name="Data Entry Sheet" sheetId="1" r:id="rId1"/>
    <sheet name="Salary Table" sheetId="2" r:id="rId2"/>
    <sheet name="Form-16 Front" sheetId="3" r:id="rId3"/>
    <sheet name="Form-16 back" sheetId="4" r:id="rId4"/>
    <sheet name="Annexure-I" sheetId="5" r:id="rId5"/>
    <sheet name="HR Declaration" sheetId="6" r:id="rId6"/>
  </sheets>
  <externalReferences>
    <externalReference r:id="rId9"/>
  </externalReferences>
  <definedNames>
    <definedName name="agi1">'Data Entry Sheet'!$R$25</definedName>
    <definedName name="agi2">'Data Entry Sheet'!$R$26</definedName>
    <definedName name="agi3">'Data Entry Sheet'!$R$27</definedName>
    <definedName name="INC1">'Data Entry Sheet'!$M$7</definedName>
    <definedName name="INC2">'Data Entry Sheet'!$N$7</definedName>
    <definedName name="INC3">'Data Entry Sheet'!$O$7</definedName>
    <definedName name="Numbers">'Form-16 back'!$S$42:$DM$43</definedName>
    <definedName name="phc">'Data Entry Sheet'!$R$16</definedName>
    <definedName name="_xlnm.Print_Area" localSheetId="4">'Annexure-I'!$A$1:$K$60</definedName>
    <definedName name="_xlnm.Print_Area" localSheetId="3">'Form-16 back'!$A$1:$L$51</definedName>
    <definedName name="_xlnm.Print_Area" localSheetId="2">'Form-16 Front'!$A$1:$M$66</definedName>
    <definedName name="_xlnm.Print_Area" localSheetId="5">'HR Declaration'!$A$1:$I$49</definedName>
    <definedName name="_xlnm.Print_Area" localSheetId="1">'Salary Table'!$A$1:$U$27</definedName>
  </definedNames>
  <calcPr fullCalcOnLoad="1"/>
</workbook>
</file>

<file path=xl/comments1.xml><?xml version="1.0" encoding="utf-8"?>
<comments xmlns="http://schemas.openxmlformats.org/spreadsheetml/2006/main">
  <authors>
    <author>amarnath</author>
  </authors>
  <commentList>
    <comment ref="D33" authorId="0">
      <text>
        <r>
          <rPr>
            <b/>
            <sz val="9"/>
            <rFont val="Tahoma"/>
            <family val="2"/>
          </rPr>
          <t>Employee's Father Name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Name of the Village lived in</t>
        </r>
        <r>
          <rPr>
            <sz val="9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9"/>
            <rFont val="Tahoma"/>
            <family val="2"/>
          </rPr>
          <t>Name of the Mandal lived in</t>
        </r>
      </text>
    </comment>
    <comment ref="D36" authorId="0">
      <text>
        <r>
          <rPr>
            <b/>
            <sz val="9"/>
            <rFont val="Tahoma"/>
            <family val="2"/>
          </rPr>
          <t xml:space="preserve">Dstrict name </t>
        </r>
      </text>
    </comment>
    <comment ref="D37" authorId="0">
      <text>
        <r>
          <rPr>
            <b/>
            <sz val="9"/>
            <rFont val="Tahoma"/>
            <family val="2"/>
          </rPr>
          <t>PIN No:</t>
        </r>
      </text>
    </comment>
    <comment ref="D32" authorId="0">
      <text>
        <r>
          <rPr>
            <b/>
            <sz val="9"/>
            <rFont val="Tahoma"/>
            <family val="2"/>
          </rPr>
          <t>House No.</t>
        </r>
      </text>
    </comment>
    <comment ref="F10" authorId="0">
      <text>
        <r>
          <rPr>
            <b/>
            <sz val="9"/>
            <rFont val="Tahoma"/>
            <family val="2"/>
          </rPr>
          <t>if you feel Rent Per Month is Heavy please enter your choice of rent</t>
        </r>
      </text>
    </comment>
    <comment ref="D26" authorId="0">
      <text>
        <r>
          <rPr>
            <b/>
            <sz val="9"/>
            <rFont val="Tahoma"/>
            <family val="2"/>
          </rPr>
          <t>if YES Percent of PHC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>if DA generated is mistake  enter DA taken</t>
        </r>
      </text>
    </comment>
    <comment ref="F14" authorId="0">
      <text>
        <r>
          <rPr>
            <b/>
            <sz val="9"/>
            <rFont val="Tahoma"/>
            <family val="2"/>
          </rPr>
          <t>amarnath:</t>
        </r>
        <r>
          <rPr>
            <sz val="9"/>
            <rFont val="Tahoma"/>
            <family val="2"/>
          </rPr>
          <t xml:space="preserve">
if generated DA is wrong please enter correct DA arrear in this cell</t>
        </r>
      </text>
    </comment>
  </commentList>
</comments>
</file>

<file path=xl/comments4.xml><?xml version="1.0" encoding="utf-8"?>
<comments xmlns="http://schemas.openxmlformats.org/spreadsheetml/2006/main">
  <authors>
    <author>amarnath</author>
  </authors>
  <commentList>
    <comment ref="L24" authorId="0">
      <text>
        <r>
          <rPr>
            <b/>
            <sz val="9"/>
            <rFont val="Tahoma"/>
            <family val="2"/>
          </rPr>
          <t>amarnath:</t>
        </r>
        <r>
          <rPr>
            <sz val="9"/>
            <rFont val="Tahoma"/>
            <family val="2"/>
          </rPr>
          <t xml:space="preserve">
tax to be 
rounded to nearest 10s</t>
        </r>
      </text>
    </comment>
  </commentList>
</comments>
</file>

<file path=xl/sharedStrings.xml><?xml version="1.0" encoding="utf-8"?>
<sst xmlns="http://schemas.openxmlformats.org/spreadsheetml/2006/main" count="677" uniqueCount="424">
  <si>
    <t>Month</t>
  </si>
  <si>
    <t>Basic pay</t>
  </si>
  <si>
    <t>D.A</t>
  </si>
  <si>
    <t>H.R.A</t>
  </si>
  <si>
    <t>H.M.A</t>
  </si>
  <si>
    <t>P.H.A</t>
  </si>
  <si>
    <t>C.C.A</t>
  </si>
  <si>
    <t>Others</t>
  </si>
  <si>
    <t>Gross
 Total</t>
  </si>
  <si>
    <t>ZPPF</t>
  </si>
  <si>
    <t>APGLI</t>
  </si>
  <si>
    <t>G.I.S.</t>
  </si>
  <si>
    <t>P.Tax</t>
  </si>
  <si>
    <t>SWF /
  EWF</t>
  </si>
  <si>
    <t>CPS</t>
  </si>
  <si>
    <t>LIC
(SSS)</t>
  </si>
  <si>
    <t>D.A Arrears</t>
  </si>
  <si>
    <t>Surrender Leave</t>
  </si>
  <si>
    <t>Stepup Arrears</t>
  </si>
  <si>
    <t>TOTAL</t>
  </si>
  <si>
    <t>Signature of the Drawing Officer</t>
  </si>
  <si>
    <t>Signature of the Employee</t>
  </si>
  <si>
    <t xml:space="preserve"> </t>
  </si>
  <si>
    <t>Preponement arrears</t>
  </si>
  <si>
    <t>Certificate under section 203 of the Income-tax Act, 1961 
for Tax deducted at source from income chargeable under the head "Salaries"</t>
  </si>
  <si>
    <t>NAME AND ADDRESS OF THE EMPLOYER</t>
  </si>
  <si>
    <t>NAME AND DESIGNATION OF THE EMPLOYEE</t>
  </si>
  <si>
    <t>MRC</t>
  </si>
  <si>
    <t>PAN No. of Deductor</t>
  </si>
  <si>
    <t>TAN No. of Deductor</t>
  </si>
  <si>
    <t>PAN OF Employee</t>
  </si>
  <si>
    <t>GIR NO</t>
  </si>
  <si>
    <t>Acknowledgement Nos. of all quarterly statements of TDS under sub-section 200 as provided by TIN Facilitation Center or NSDL web-site.</t>
  </si>
  <si>
    <t>Quarter</t>
  </si>
  <si>
    <t>Acknowledgement No.</t>
  </si>
  <si>
    <t>Amount</t>
  </si>
  <si>
    <t>Period</t>
  </si>
  <si>
    <t>From</t>
  </si>
  <si>
    <t>To</t>
  </si>
  <si>
    <t>DETAILS OF SALARY PAID AND ANY OTHER INCOME AND TAX DEDUCTED</t>
  </si>
  <si>
    <t>Gross Salary</t>
  </si>
  <si>
    <t>Rs.</t>
  </si>
  <si>
    <t>a)</t>
  </si>
  <si>
    <t>Salary as per provisions cotained in section 17 (1)</t>
  </si>
  <si>
    <t>b)</t>
  </si>
  <si>
    <t>Value of percuisites under section 17(2)</t>
  </si>
  <si>
    <t>(As Per Form No. 12BA, Wherever applicable)</t>
  </si>
  <si>
    <t>c)</t>
  </si>
  <si>
    <t>Profits in lieu of salary under section 17(3)</t>
  </si>
  <si>
    <t>(as per Form No. 12BA, Wherver applicable)</t>
  </si>
  <si>
    <t>d)</t>
  </si>
  <si>
    <t>Total</t>
  </si>
  <si>
    <t>Less: Allowance to the extent exempted U/s 10</t>
  </si>
  <si>
    <t>House Rent Allowence</t>
  </si>
  <si>
    <t>Other Allowance</t>
  </si>
  <si>
    <t>Balance (1-2)</t>
  </si>
  <si>
    <t>Deductions</t>
  </si>
  <si>
    <t>Entertainment Allowence</t>
  </si>
  <si>
    <t>Tax on Employment</t>
  </si>
  <si>
    <t>Aggreate of 4 (a)&amp;(b)</t>
  </si>
  <si>
    <t>INCOME CHARGEABLE UNDER THE HEAD SALARIES (3-5)</t>
  </si>
  <si>
    <t>Add: Any other income reported by the employee</t>
  </si>
  <si>
    <t>Add: Income of Capital Gains</t>
  </si>
  <si>
    <t>Less:Interest on Housing Loan U/s 24(b)</t>
  </si>
  <si>
    <t>Gross Total Income (6+7)</t>
  </si>
  <si>
    <t>Deductions Under Chapter VI-A</t>
  </si>
  <si>
    <t>A)</t>
  </si>
  <si>
    <t>UnderSection 80C,80CCC,80CCD.</t>
  </si>
  <si>
    <t>Gross</t>
  </si>
  <si>
    <t>Qualifying</t>
  </si>
  <si>
    <t>Deductible</t>
  </si>
  <si>
    <t>Section 80C</t>
  </si>
  <si>
    <t>i</t>
  </si>
  <si>
    <t>G.P.F/ZPPF</t>
  </si>
  <si>
    <t>ii</t>
  </si>
  <si>
    <t>A.P.G.L.I</t>
  </si>
  <si>
    <t>iii</t>
  </si>
  <si>
    <t>G.I.S</t>
  </si>
  <si>
    <t>iv</t>
  </si>
  <si>
    <t>LIC(SSS)</t>
  </si>
  <si>
    <t>v</t>
  </si>
  <si>
    <t>Tuition Fee- Two Children</t>
  </si>
  <si>
    <t>vi</t>
  </si>
  <si>
    <t>PLI</t>
  </si>
  <si>
    <t>vii</t>
  </si>
  <si>
    <t>LIC (by Hand)</t>
  </si>
  <si>
    <t>viii</t>
  </si>
  <si>
    <t>SBI Life</t>
  </si>
  <si>
    <t>ix</t>
  </si>
  <si>
    <t>Housing Loan Princple</t>
  </si>
  <si>
    <t>x</t>
  </si>
  <si>
    <t>Education Loan Princple</t>
  </si>
  <si>
    <t>xi</t>
  </si>
  <si>
    <t>5 years fixed deposites</t>
  </si>
  <si>
    <t>xii</t>
  </si>
  <si>
    <t>unit linked insurance plan</t>
  </si>
  <si>
    <t>xiii</t>
  </si>
  <si>
    <t>xiv</t>
  </si>
  <si>
    <t>Total Under Section 80C…</t>
  </si>
  <si>
    <t>Section 80CCC</t>
  </si>
  <si>
    <t>LIC / UTI  etc. Pension funds</t>
  </si>
  <si>
    <t>Section 80CCD</t>
  </si>
  <si>
    <t>Contribution to Pension Fund</t>
  </si>
  <si>
    <t>Aggrigate Amount Deductible Under 3 Sections………………………………………………….</t>
  </si>
  <si>
    <t>Note:</t>
  </si>
  <si>
    <t>1.aggregate amount deductible under section 80c shall not exceed one lakh rupees.</t>
  </si>
  <si>
    <t>2.aggregate amount deductible under section 80C,80CCC,80CCD, shall not exceed one lakh rupees.</t>
  </si>
  <si>
    <t>B)</t>
  </si>
  <si>
    <t>Other Sections Under Chapter VI A</t>
  </si>
  <si>
    <t>( Under Sections 80E,80G,80DD etc )</t>
  </si>
  <si>
    <t>80G</t>
  </si>
  <si>
    <t>EWF &amp; SWF</t>
  </si>
  <si>
    <t>80D</t>
  </si>
  <si>
    <t>80DDB</t>
  </si>
  <si>
    <t>Expenditure on Medical Treatment</t>
  </si>
  <si>
    <t>Payments made to Electoral Trusts</t>
  </si>
  <si>
    <t>80DD</t>
  </si>
  <si>
    <t>80E</t>
  </si>
  <si>
    <t>Interest on Educational Loan</t>
  </si>
  <si>
    <t>Interest on Housing Loan Advance</t>
  </si>
  <si>
    <t>Total Under Sections 80G,80E,80DD etc…..</t>
  </si>
  <si>
    <t>Aggregate of Deductible Amounts U/Chapter VIA (A+B)………</t>
  </si>
  <si>
    <t>TOTAL INCOME  (8-10)</t>
  </si>
  <si>
    <t>TAX ON TOTAL INCOME Rs.</t>
  </si>
  <si>
    <t>Education Cess @ 1% (On Tax at  S.No.12 )</t>
  </si>
  <si>
    <t>Secondary and Higher Education Cess @ 2% (On Tax at  S.No.12 )</t>
  </si>
  <si>
    <t>TAX PAYABLE (12+13+14)</t>
  </si>
  <si>
    <t>Relief under section 89 (attach details)</t>
  </si>
  <si>
    <t>TAX PAYABLE (15-16)</t>
  </si>
  <si>
    <t>Less:(a) Tax deducted at source U/s 192(1)</t>
  </si>
  <si>
    <t xml:space="preserve"> (b)Tax paid by the employer on behalf of the</t>
  </si>
  <si>
    <t xml:space="preserve">     Employee U/S 192 (1A) on perquisited U/S 17 (2)</t>
  </si>
  <si>
    <t>TAX PAYABLE / REFUNDABLE (17-18)</t>
  </si>
  <si>
    <t>DETAILS OF TAX DEDUCTED AND DEPOSITED INTO CENTRAL GOVERNMENT ACCOUNT</t>
  </si>
  <si>
    <t>(The employer is to provide tranction - wise details of tax deducted and deposited)</t>
  </si>
  <si>
    <t>Sl.</t>
  </si>
  <si>
    <t>TDS</t>
  </si>
  <si>
    <t>Surcharge</t>
  </si>
  <si>
    <t>Education</t>
  </si>
  <si>
    <t>Total Tax</t>
  </si>
  <si>
    <t>Cheque/DD</t>
  </si>
  <si>
    <t>BSR Code</t>
  </si>
  <si>
    <t xml:space="preserve">Date on </t>
  </si>
  <si>
    <t>Transfer</t>
  </si>
  <si>
    <t>No.</t>
  </si>
  <si>
    <t>Cess</t>
  </si>
  <si>
    <t>Deposited</t>
  </si>
  <si>
    <t>No. (if any)</t>
  </si>
  <si>
    <t>of Bank</t>
  </si>
  <si>
    <t>Which Tax</t>
  </si>
  <si>
    <t>vocher/chalana</t>
  </si>
  <si>
    <t>Branch</t>
  </si>
  <si>
    <t>Identification No</t>
  </si>
  <si>
    <t>Lakhs</t>
  </si>
  <si>
    <t>Thousands</t>
  </si>
  <si>
    <t>Hundred</t>
  </si>
  <si>
    <t>Zero</t>
  </si>
  <si>
    <t>One</t>
  </si>
  <si>
    <t xml:space="preserve">Two 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</si>
  <si>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</si>
  <si>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</si>
  <si>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</si>
  <si>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</si>
  <si>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</si>
  <si>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</si>
  <si>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</si>
  <si>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</si>
  <si>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</si>
  <si>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</si>
  <si>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</si>
  <si>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</si>
  <si>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</si>
  <si>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</si>
  <si>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</si>
  <si>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</si>
  <si>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</si>
  <si>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</si>
  <si>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</si>
  <si>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</si>
  <si>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</si>
  <si>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</si>
  <si>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</si>
  <si>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</si>
  <si>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</si>
  <si>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</si>
  <si>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 xml:space="preserve">Twenty Nine 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</si>
  <si>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</si>
  <si>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</si>
  <si>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</si>
  <si>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</si>
  <si>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</si>
  <si>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</si>
  <si>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</si>
  <si>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</si>
  <si>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 xml:space="preserve">Thirty Eight </t>
  </si>
  <si>
    <t>Thirty Nine</t>
  </si>
  <si>
    <t>Fourty</t>
  </si>
  <si>
    <t>Fourty One</t>
  </si>
  <si>
    <t>Fourty Two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</si>
  <si>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</si>
  <si>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</si>
  <si>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</si>
  <si>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</si>
  <si>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</si>
  <si>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</si>
  <si>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</si>
  <si>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</si>
  <si>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</si>
  <si>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</si>
  <si>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</si>
  <si>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</si>
  <si>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</si>
  <si>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</si>
  <si>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</si>
  <si>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</si>
  <si>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</si>
  <si>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 xml:space="preserve">Sixty 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</si>
  <si>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</si>
  <si>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</si>
  <si>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</si>
  <si>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</si>
  <si>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</si>
  <si>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</si>
  <si>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</si>
  <si>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</si>
  <si>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</si>
  <si>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</si>
  <si>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</si>
  <si>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</si>
  <si>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</si>
  <si>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</si>
  <si>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</si>
  <si>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</si>
  <si>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</si>
  <si>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</si>
  <si>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</si>
  <si>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</si>
  <si>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</si>
  <si>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</si>
  <si>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</si>
  <si>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</si>
  <si>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</si>
  <si>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</si>
  <si>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</si>
  <si>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</si>
  <si>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</si>
  <si>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Ninty</t>
  </si>
  <si>
    <t>Ninty One</t>
  </si>
  <si>
    <t xml:space="preserve">Ninty Two </t>
  </si>
  <si>
    <t>Ninty Three</t>
  </si>
  <si>
    <t>Ninty Four</t>
  </si>
  <si>
    <t>Ninty Five</t>
  </si>
  <si>
    <t>Ninty Six</t>
  </si>
  <si>
    <t>Ninty Seven</t>
  </si>
  <si>
    <t>Ninty Eight</t>
  </si>
  <si>
    <t>Ninty Nine</t>
  </si>
  <si>
    <t>Sign--</t>
  </si>
  <si>
    <t>Place:</t>
  </si>
  <si>
    <t>Avanigadda</t>
  </si>
  <si>
    <t>Signature of the person responsible for deduction of tax</t>
  </si>
  <si>
    <t>Date:</t>
  </si>
  <si>
    <t>Full Name--</t>
  </si>
  <si>
    <t>Designation-</t>
  </si>
  <si>
    <t>ANNEXURE - II</t>
  </si>
  <si>
    <t>Name          :</t>
  </si>
  <si>
    <t>School         :</t>
  </si>
  <si>
    <t>Designation :</t>
  </si>
  <si>
    <t>Mandal       :</t>
  </si>
  <si>
    <t>Employee PAN Number</t>
  </si>
  <si>
    <t>Gross Salary………</t>
  </si>
  <si>
    <t>H.R.A. Exemption as per eligibility U/s. 10(13-A)</t>
  </si>
  <si>
    <t>Actual HRA received</t>
  </si>
  <si>
    <t>40% of Salary (Salary means Basic Pay+D.A)</t>
  </si>
  <si>
    <t>Total Salary (2-3)</t>
  </si>
  <si>
    <t>Deductions from Salary Income</t>
  </si>
  <si>
    <t>Exemption from Conveyance Allowance U/s. 10(14) (i)</t>
  </si>
  <si>
    <t>Profession Tax U/s 16 (3) B</t>
  </si>
  <si>
    <t>Income From Salary (4-5)</t>
  </si>
  <si>
    <t>Add: Income From other sources</t>
  </si>
  <si>
    <t>Add: Income From Capital Gains</t>
  </si>
  <si>
    <t>Income from House Property U/s 24(vi)</t>
  </si>
  <si>
    <t>Gross Total Income  (6+7+8+9)</t>
  </si>
  <si>
    <t>Expenditure on medical treatment</t>
  </si>
  <si>
    <t>Medical Insurance Premium</t>
  </si>
  <si>
    <t>Donation of Charitable Institution</t>
  </si>
  <si>
    <t>e)</t>
  </si>
  <si>
    <t>f)</t>
  </si>
  <si>
    <t>Medical treatment of Handicapped/Dependent</t>
  </si>
  <si>
    <t>g)</t>
  </si>
  <si>
    <t>Maintaince for 80% and above disabled Employee</t>
  </si>
  <si>
    <t>h)</t>
  </si>
  <si>
    <t>E.W.F, &amp; S.W.F</t>
  </si>
  <si>
    <t>TOTAL-----------</t>
  </si>
  <si>
    <t>Gross Total Income  (10-11)</t>
  </si>
  <si>
    <t>Savings U/s 80C (Limited to One lakh)</t>
  </si>
  <si>
    <t>ZP GPF</t>
  </si>
  <si>
    <t>GIS</t>
  </si>
  <si>
    <t>LIC Premium Deducted in Salary Savings Scheme</t>
  </si>
  <si>
    <t xml:space="preserve">Children Tution Fee </t>
  </si>
  <si>
    <t>Repayement of Home Loan Premium</t>
  </si>
  <si>
    <t>LIC Annual Premiums Paid by Hand</t>
  </si>
  <si>
    <t>PLI Annual Premuim</t>
  </si>
  <si>
    <t>i)</t>
  </si>
  <si>
    <t xml:space="preserve">5 Years Fixed Deposits </t>
  </si>
  <si>
    <t>j)</t>
  </si>
  <si>
    <t>Unit Linked Insurance Plan</t>
  </si>
  <si>
    <t>k)</t>
  </si>
  <si>
    <t>)</t>
  </si>
  <si>
    <t>Total Savings</t>
  </si>
  <si>
    <t>Tax on Income</t>
  </si>
  <si>
    <t>Education Cess @ 1%</t>
  </si>
  <si>
    <t>Secondary &amp; Higher Education Cess @ 2%</t>
  </si>
  <si>
    <t>Total Tax Payable (15+16+17)</t>
  </si>
  <si>
    <t>Details of Advance Tax Deductions</t>
  </si>
  <si>
    <t>Q1)</t>
  </si>
  <si>
    <t>Q2)</t>
  </si>
  <si>
    <t>Q3)</t>
  </si>
  <si>
    <t>Q4)</t>
  </si>
  <si>
    <t>Tax to be Paid now</t>
  </si>
  <si>
    <t>Net Taxable Income (12-13) rounded to nearest Rs.10/-</t>
  </si>
  <si>
    <t>House Rent Declaration</t>
  </si>
  <si>
    <t>Pan No:</t>
  </si>
  <si>
    <t>Station:</t>
  </si>
  <si>
    <t>Signature</t>
  </si>
  <si>
    <t>Name of the Teacher</t>
  </si>
  <si>
    <t>:</t>
  </si>
  <si>
    <t>Designation</t>
  </si>
  <si>
    <t>Working School</t>
  </si>
  <si>
    <t>Mandal</t>
  </si>
  <si>
    <t>2013-2014</t>
  </si>
  <si>
    <t>PAN NO</t>
  </si>
  <si>
    <t>DDO Designation</t>
  </si>
  <si>
    <t>Head Master</t>
  </si>
  <si>
    <t>MEO</t>
  </si>
  <si>
    <t>DDO Office</t>
  </si>
  <si>
    <t>DDO Name</t>
  </si>
  <si>
    <t>TAN NO</t>
  </si>
  <si>
    <t>Type of House</t>
  </si>
  <si>
    <t>Rented</t>
  </si>
  <si>
    <t>Own</t>
  </si>
  <si>
    <t>Increment Month</t>
  </si>
  <si>
    <t>INC1</t>
  </si>
  <si>
    <t>month</t>
  </si>
  <si>
    <t>PF/CPS</t>
  </si>
  <si>
    <t>PF</t>
  </si>
  <si>
    <t>Up to Rs. 2,00,000</t>
  </si>
  <si>
    <t>Rs.2,00,001 To 5,00,000.    (@ 10%)</t>
  </si>
  <si>
    <t>Tution Fee</t>
  </si>
  <si>
    <t>6/12/18/24 Yrs Arrear</t>
  </si>
  <si>
    <t>LIC
(Direct)</t>
  </si>
  <si>
    <t xml:space="preserve">PF Subscription </t>
  </si>
  <si>
    <t>If GIS Change Month</t>
  </si>
  <si>
    <t>FP &amp; AQI</t>
  </si>
  <si>
    <t>HMA</t>
  </si>
  <si>
    <t>PHC</t>
  </si>
  <si>
    <t>phc</t>
  </si>
  <si>
    <t>Others (earnings)</t>
  </si>
  <si>
    <t>SGT</t>
  </si>
  <si>
    <r>
      <rPr>
        <b/>
        <sz val="11"/>
        <color indexed="8"/>
        <rFont val="Calibri"/>
        <family val="2"/>
      </rPr>
      <t xml:space="preserve">FORM No. 16 </t>
    </r>
    <r>
      <rPr>
        <sz val="11"/>
        <color theme="1"/>
        <rFont val="Calibri"/>
        <family val="2"/>
      </rPr>
      <t xml:space="preserve">   
   ( Vide rule 31(1)(a) of Income Tax Rules, 1962 )</t>
    </r>
  </si>
  <si>
    <t>Interest on Housing loan</t>
  </si>
  <si>
    <t>Housing loan Principle</t>
  </si>
  <si>
    <t>Interest on Education loan</t>
  </si>
  <si>
    <t>Education loan Principle</t>
  </si>
  <si>
    <t>Month wise tax Paid in Advance</t>
  </si>
  <si>
    <t>tax Paid</t>
  </si>
  <si>
    <t>Assessment
Year</t>
  </si>
  <si>
    <t xml:space="preserve">Living in    :  </t>
  </si>
  <si>
    <t>Pay+DA</t>
  </si>
  <si>
    <t>Apr-12 tojun-12</t>
  </si>
  <si>
    <t>Jul-12 to Sep-12</t>
  </si>
  <si>
    <t>Oct-12 to Dec-12</t>
  </si>
  <si>
    <t>Jan-13 to Mar-13</t>
  </si>
  <si>
    <t xml:space="preserve">Medical Insurance Premium </t>
  </si>
  <si>
    <t>Medical Insurance Premium for senior citizens</t>
  </si>
  <si>
    <t>percentage of PHC</t>
  </si>
  <si>
    <t>&lt;=50000</t>
  </si>
  <si>
    <t>&lt;=100000</t>
  </si>
  <si>
    <t xml:space="preserve">Treatment for Handicapped Self or  Dependent </t>
  </si>
  <si>
    <t>a) Neurological Diseases (where the disability level has been certified as 40% or more).</t>
  </si>
  <si>
    <t>b) Parkinson’s Disease</t>
  </si>
  <si>
    <t>c) Malignant Cancers</t>
  </si>
  <si>
    <t>d) Acquired Immune Deficiency Syndrome (AIDS)</t>
  </si>
  <si>
    <t>e) Chronic Renal failure</t>
  </si>
  <si>
    <t>f) Hemophilia</t>
  </si>
  <si>
    <t>g) Thalassaemia</t>
  </si>
  <si>
    <t>for others covered 40000/-</t>
  </si>
  <si>
    <t>for senior citizens covered 60000/-</t>
  </si>
  <si>
    <t>Address of the Employee</t>
  </si>
  <si>
    <t>No Change</t>
  </si>
  <si>
    <t>pay</t>
  </si>
  <si>
    <t>da</t>
  </si>
  <si>
    <t>inc1</t>
  </si>
  <si>
    <t>Pay</t>
  </si>
  <si>
    <t>Jan-12pay</t>
  </si>
  <si>
    <t>Pay as on Jan-12</t>
  </si>
  <si>
    <t xml:space="preserve">1 st DA Arrears Taken Upto </t>
  </si>
  <si>
    <t>2nd DA Arrears 
Taken Upto</t>
  </si>
  <si>
    <t>1st DA</t>
  </si>
  <si>
    <t>2nd DA</t>
  </si>
  <si>
    <t>80DDB (diseases covered)</t>
  </si>
  <si>
    <t>diff</t>
  </si>
  <si>
    <t>new da1</t>
  </si>
  <si>
    <t>new da2</t>
  </si>
  <si>
    <t>pf</t>
  </si>
  <si>
    <t>IF YOU WANT ANY CHANGES MAKE AT SALARY TABLE,DON’T DELET ANY CELLS</t>
  </si>
  <si>
    <t>TAKE A COMPLETE VIEW BEFORE TAKING PRINT</t>
  </si>
  <si>
    <t>MAKE SURE ALL ENTRIES ARE CORRECT</t>
  </si>
  <si>
    <t>pha</t>
  </si>
  <si>
    <t>Krishna</t>
  </si>
  <si>
    <t>Rs.5,00,001 To 10,00,000.   (@ 20%)</t>
  </si>
  <si>
    <t>above Rs.10,00,001.          (@ 30%)</t>
  </si>
  <si>
    <t>ELSS</t>
  </si>
  <si>
    <t>1-56</t>
  </si>
  <si>
    <t>if this macros not worked .close the workbook, and open the same workbook and enable macros.</t>
  </si>
  <si>
    <t>banadh@gmail.com</t>
  </si>
  <si>
    <t>Others       (ELSS-SBI Magnum Tax Gain fund(direct)(G)</t>
  </si>
  <si>
    <t>INCOME TAX CALCULATION FOR THE YEAR 2012-13</t>
  </si>
  <si>
    <t>Section 80CCG(Rajiv Gandhi Equity Saving Scheme)</t>
  </si>
  <si>
    <t>Total 80C,80CCC,80CCD,80CCG</t>
  </si>
  <si>
    <t>MPUPS,Bobbarlanka</t>
  </si>
  <si>
    <t>Mopidevi</t>
  </si>
  <si>
    <t>B.Rattaiah</t>
  </si>
  <si>
    <t>____________________</t>
  </si>
  <si>
    <t>S V P K Srinivas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</si>
</sst>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"/>
    <numFmt numFmtId="165" formatCode="[$-409]d/mmm/yyyy;@"/>
    <numFmt numFmtId="166" formatCode="[$-409]dd\ mmmm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mmm/yy;@"/>
    <numFmt numFmtId="172" formatCode="\-"/>
    <numFmt numFmtId="173" formatCode="\ \-"/>
    <numFmt numFmtId="174" formatCode="[$-409]hh:mm:ss\ AM/PM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b/>
      <sz val="8"/>
      <color indexed="10"/>
      <name val="Verdana"/>
      <family val="2"/>
    </font>
    <font>
      <i/>
      <u val="single"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doub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FF00"/>
      <name val="Calibri"/>
      <family val="2"/>
    </font>
    <font>
      <sz val="12"/>
      <color rgb="FFFFFF0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8"/>
      <color rgb="FFFF0000"/>
      <name val="Verdana"/>
      <family val="2"/>
    </font>
    <font>
      <i/>
      <u val="single"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4"/>
      <color rgb="FFFF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9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u val="double"/>
      <sz val="16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8"/>
      </right>
      <top style="double"/>
      <bottom>
        <color indexed="8"/>
      </bottom>
    </border>
    <border>
      <left>
        <color indexed="8"/>
      </left>
      <right>
        <color indexed="8"/>
      </right>
      <top style="double"/>
      <bottom>
        <color indexed="8"/>
      </bottom>
    </border>
    <border>
      <left>
        <color indexed="8"/>
      </left>
      <right style="double"/>
      <top style="double"/>
      <bottom>
        <color indexed="8"/>
      </bottom>
    </border>
    <border>
      <left style="double"/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/>
      <top>
        <color indexed="8"/>
      </top>
      <bottom>
        <color indexed="8"/>
      </bottom>
    </border>
    <border>
      <left style="double"/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 style="double"/>
      <top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hair"/>
      <bottom>
        <color indexed="8"/>
      </bottom>
    </border>
    <border>
      <left>
        <color indexed="8"/>
      </left>
      <right style="thin"/>
      <top style="hair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double"/>
      <top>
        <color indexed="8"/>
      </top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double"/>
      <top>
        <color indexed="8"/>
      </top>
      <bottom style="hair"/>
    </border>
    <border>
      <left>
        <color indexed="8"/>
      </left>
      <right style="double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8"/>
      </left>
      <right style="double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75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41" fontId="6" fillId="0" borderId="24" xfId="0" applyNumberFormat="1" applyFont="1" applyFill="1" applyBorder="1" applyAlignment="1" applyProtection="1">
      <alignment/>
      <protection hidden="1"/>
    </xf>
    <xf numFmtId="41" fontId="6" fillId="0" borderId="14" xfId="0" applyNumberFormat="1" applyFont="1" applyFill="1" applyBorder="1" applyAlignment="1" applyProtection="1">
      <alignment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41" fontId="6" fillId="0" borderId="26" xfId="0" applyNumberFormat="1" applyFont="1" applyFill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27" xfId="0" applyFont="1" applyFill="1" applyBorder="1" applyAlignment="1" applyProtection="1">
      <alignment horizontal="center"/>
      <protection hidden="1"/>
    </xf>
    <xf numFmtId="41" fontId="6" fillId="0" borderId="28" xfId="0" applyNumberFormat="1" applyFont="1" applyFill="1" applyBorder="1" applyAlignment="1" applyProtection="1">
      <alignment/>
      <protection hidden="1"/>
    </xf>
    <xf numFmtId="41" fontId="6" fillId="0" borderId="29" xfId="0" applyNumberFormat="1" applyFont="1" applyFill="1" applyBorder="1" applyAlignment="1" applyProtection="1">
      <alignment/>
      <protection hidden="1"/>
    </xf>
    <xf numFmtId="41" fontId="7" fillId="0" borderId="14" xfId="0" applyNumberFormat="1" applyFont="1" applyFill="1" applyBorder="1" applyAlignment="1" applyProtection="1">
      <alignment/>
      <protection hidden="1"/>
    </xf>
    <xf numFmtId="41" fontId="6" fillId="0" borderId="28" xfId="0" applyNumberFormat="1" applyFont="1" applyFill="1" applyBorder="1" applyAlignment="1" applyProtection="1">
      <alignment horizontal="center"/>
      <protection hidden="1"/>
    </xf>
    <xf numFmtId="41" fontId="8" fillId="0" borderId="14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41" fontId="6" fillId="0" borderId="28" xfId="0" applyNumberFormat="1" applyFont="1" applyFill="1" applyBorder="1" applyAlignment="1" applyProtection="1">
      <alignment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41" fontId="6" fillId="0" borderId="31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41" fontId="6" fillId="0" borderId="2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7" fillId="0" borderId="29" xfId="0" applyNumberFormat="1" applyFont="1" applyFill="1" applyBorder="1" applyAlignment="1" applyProtection="1">
      <alignment/>
      <protection hidden="1"/>
    </xf>
    <xf numFmtId="0" fontId="6" fillId="0" borderId="32" xfId="0" applyFont="1" applyFill="1" applyBorder="1" applyAlignment="1" applyProtection="1">
      <alignment horizontal="center"/>
      <protection hidden="1"/>
    </xf>
    <xf numFmtId="41" fontId="6" fillId="0" borderId="33" xfId="0" applyNumberFormat="1" applyFont="1" applyFill="1" applyBorder="1" applyAlignment="1" applyProtection="1">
      <alignment/>
      <protection hidden="1"/>
    </xf>
    <xf numFmtId="41" fontId="7" fillId="0" borderId="34" xfId="0" applyNumberFormat="1" applyFont="1" applyFill="1" applyBorder="1" applyAlignment="1" applyProtection="1">
      <alignment/>
      <protection hidden="1"/>
    </xf>
    <xf numFmtId="41" fontId="6" fillId="0" borderId="28" xfId="0" applyNumberFormat="1" applyFont="1" applyFill="1" applyBorder="1" applyAlignment="1" applyProtection="1">
      <alignment/>
      <protection hidden="1"/>
    </xf>
    <xf numFmtId="41" fontId="6" fillId="0" borderId="35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41" fontId="6" fillId="0" borderId="35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4" fillId="0" borderId="36" xfId="0" applyFont="1" applyFill="1" applyBorder="1" applyAlignment="1" applyProtection="1">
      <alignment horizontal="right"/>
      <protection hidden="1"/>
    </xf>
    <xf numFmtId="41" fontId="4" fillId="0" borderId="36" xfId="0" applyNumberFormat="1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/>
      <protection hidden="1"/>
    </xf>
    <xf numFmtId="41" fontId="6" fillId="0" borderId="26" xfId="0" applyNumberFormat="1" applyFont="1" applyFill="1" applyBorder="1" applyAlignment="1" applyProtection="1">
      <alignment/>
      <protection hidden="1"/>
    </xf>
    <xf numFmtId="41" fontId="11" fillId="0" borderId="14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9" fillId="0" borderId="37" xfId="0" applyFont="1" applyFill="1" applyBorder="1" applyAlignment="1" applyProtection="1">
      <alignment horizontal="center"/>
      <protection hidden="1"/>
    </xf>
    <xf numFmtId="0" fontId="9" fillId="0" borderId="38" xfId="0" applyFont="1" applyFill="1" applyBorder="1" applyAlignment="1" applyProtection="1">
      <alignment/>
      <protection hidden="1"/>
    </xf>
    <xf numFmtId="0" fontId="6" fillId="0" borderId="39" xfId="0" applyFont="1" applyFill="1" applyBorder="1" applyAlignment="1" applyProtection="1">
      <alignment horizontal="center"/>
      <protection hidden="1"/>
    </xf>
    <xf numFmtId="3" fontId="6" fillId="0" borderId="18" xfId="0" applyNumberFormat="1" applyFont="1" applyFill="1" applyBorder="1" applyAlignment="1" applyProtection="1">
      <alignment/>
      <protection hidden="1"/>
    </xf>
    <xf numFmtId="3" fontId="8" fillId="0" borderId="40" xfId="0" applyNumberFormat="1" applyFont="1" applyFill="1" applyBorder="1" applyAlignment="1" applyProtection="1">
      <alignment/>
      <protection hidden="1"/>
    </xf>
    <xf numFmtId="0" fontId="11" fillId="0" borderId="1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13" xfId="0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vertical="top" wrapText="1"/>
    </xf>
    <xf numFmtId="0" fontId="77" fillId="0" borderId="15" xfId="0" applyFont="1" applyFill="1" applyBorder="1" applyAlignment="1">
      <alignment vertical="top" wrapText="1"/>
    </xf>
    <xf numFmtId="0" fontId="77" fillId="0" borderId="16" xfId="0" applyFont="1" applyFill="1" applyBorder="1" applyAlignment="1">
      <alignment vertical="top" wrapText="1"/>
    </xf>
    <xf numFmtId="0" fontId="77" fillId="0" borderId="17" xfId="0" applyFont="1" applyFill="1" applyBorder="1" applyAlignment="1">
      <alignment vertical="top" wrapText="1"/>
    </xf>
    <xf numFmtId="0" fontId="7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76" fillId="0" borderId="0" xfId="0" applyNumberFormat="1" applyFont="1" applyFill="1" applyBorder="1" applyAlignment="1">
      <alignment horizontal="left" vertical="center" wrapText="1"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1" fillId="34" borderId="21" xfId="0" applyFont="1" applyFill="1" applyBorder="1" applyAlignment="1" applyProtection="1">
      <alignment/>
      <protection locked="0"/>
    </xf>
    <xf numFmtId="0" fontId="81" fillId="34" borderId="0" xfId="0" applyFont="1" applyFill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17" fontId="78" fillId="0" borderId="0" xfId="0" applyNumberFormat="1" applyFont="1" applyAlignment="1" applyProtection="1">
      <alignment/>
      <protection locked="0"/>
    </xf>
    <xf numFmtId="0" fontId="82" fillId="35" borderId="0" xfId="0" applyFont="1" applyFill="1" applyBorder="1" applyAlignment="1">
      <alignment horizontal="left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/>
      <protection hidden="1"/>
    </xf>
    <xf numFmtId="0" fontId="58" fillId="0" borderId="0" xfId="0" applyFont="1" applyFill="1" applyBorder="1" applyAlignment="1">
      <alignment/>
    </xf>
    <xf numFmtId="0" fontId="83" fillId="34" borderId="0" xfId="0" applyFont="1" applyFill="1" applyAlignment="1">
      <alignment/>
    </xf>
    <xf numFmtId="0" fontId="82" fillId="34" borderId="0" xfId="0" applyFont="1" applyFill="1" applyBorder="1" applyAlignment="1">
      <alignment horizontal="left"/>
    </xf>
    <xf numFmtId="0" fontId="80" fillId="34" borderId="0" xfId="0" applyFont="1" applyFill="1" applyAlignment="1">
      <alignment/>
    </xf>
    <xf numFmtId="0" fontId="84" fillId="34" borderId="0" xfId="0" applyFont="1" applyFill="1" applyAlignment="1" applyProtection="1">
      <alignment/>
      <protection locked="0"/>
    </xf>
    <xf numFmtId="0" fontId="81" fillId="34" borderId="0" xfId="0" applyFont="1" applyFill="1" applyBorder="1" applyAlignment="1">
      <alignment horizontal="left"/>
    </xf>
    <xf numFmtId="0" fontId="81" fillId="34" borderId="0" xfId="0" applyFont="1" applyFill="1" applyAlignment="1">
      <alignment/>
    </xf>
    <xf numFmtId="0" fontId="85" fillId="34" borderId="0" xfId="0" applyFont="1" applyFill="1" applyBorder="1" applyAlignment="1">
      <alignment horizontal="left"/>
    </xf>
    <xf numFmtId="0" fontId="85" fillId="34" borderId="0" xfId="0" applyFont="1" applyFill="1" applyAlignment="1">
      <alignment/>
    </xf>
    <xf numFmtId="0" fontId="85" fillId="34" borderId="0" xfId="0" applyFont="1" applyFill="1" applyAlignment="1" applyProtection="1">
      <alignment/>
      <protection locked="0"/>
    </xf>
    <xf numFmtId="0" fontId="86" fillId="34" borderId="0" xfId="0" applyFont="1" applyFill="1" applyAlignment="1" applyProtection="1">
      <alignment/>
      <protection locked="0"/>
    </xf>
    <xf numFmtId="0" fontId="0" fillId="0" borderId="43" xfId="0" applyBorder="1" applyAlignment="1" applyProtection="1">
      <alignment/>
      <protection/>
    </xf>
    <xf numFmtId="0" fontId="81" fillId="34" borderId="20" xfId="0" applyFont="1" applyFill="1" applyBorder="1" applyAlignment="1" applyProtection="1">
      <alignment/>
      <protection locked="0"/>
    </xf>
    <xf numFmtId="0" fontId="74" fillId="0" borderId="0" xfId="0" applyFont="1" applyFill="1" applyBorder="1" applyAlignment="1">
      <alignment/>
    </xf>
    <xf numFmtId="9" fontId="74" fillId="0" borderId="0" xfId="0" applyNumberFormat="1" applyFont="1" applyFill="1" applyBorder="1" applyAlignment="1">
      <alignment/>
    </xf>
    <xf numFmtId="41" fontId="74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78" fillId="0" borderId="0" xfId="0" applyFont="1" applyBorder="1" applyAlignment="1" applyProtection="1">
      <alignment/>
      <protection locked="0"/>
    </xf>
    <xf numFmtId="0" fontId="87" fillId="35" borderId="22" xfId="0" applyFont="1" applyFill="1" applyBorder="1" applyAlignment="1" applyProtection="1">
      <alignment/>
      <protection locked="0"/>
    </xf>
    <xf numFmtId="0" fontId="88" fillId="35" borderId="0" xfId="0" applyFont="1" applyFill="1" applyAlignment="1" applyProtection="1">
      <alignment/>
      <protection locked="0"/>
    </xf>
    <xf numFmtId="17" fontId="82" fillId="35" borderId="44" xfId="0" applyNumberFormat="1" applyFont="1" applyFill="1" applyBorder="1" applyAlignment="1" applyProtection="1">
      <alignment/>
      <protection locked="0"/>
    </xf>
    <xf numFmtId="17" fontId="82" fillId="35" borderId="45" xfId="0" applyNumberFormat="1" applyFont="1" applyFill="1" applyBorder="1" applyAlignment="1" applyProtection="1">
      <alignment/>
      <protection locked="0"/>
    </xf>
    <xf numFmtId="17" fontId="82" fillId="35" borderId="46" xfId="0" applyNumberFormat="1" applyFont="1" applyFill="1" applyBorder="1" applyAlignment="1" applyProtection="1">
      <alignment/>
      <protection locked="0"/>
    </xf>
    <xf numFmtId="17" fontId="82" fillId="35" borderId="47" xfId="0" applyNumberFormat="1" applyFont="1" applyFill="1" applyBorder="1" applyAlignment="1" applyProtection="1">
      <alignment/>
      <protection locked="0"/>
    </xf>
    <xf numFmtId="0" fontId="78" fillId="34" borderId="0" xfId="0" applyFont="1" applyFill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>
      <alignment/>
    </xf>
    <xf numFmtId="0" fontId="81" fillId="34" borderId="22" xfId="0" applyFont="1" applyFill="1" applyBorder="1" applyAlignment="1" applyProtection="1">
      <alignment/>
      <protection locked="0"/>
    </xf>
    <xf numFmtId="171" fontId="78" fillId="0" borderId="0" xfId="0" applyNumberFormat="1" applyFont="1" applyAlignment="1" applyProtection="1">
      <alignment/>
      <protection locked="0"/>
    </xf>
    <xf numFmtId="0" fontId="87" fillId="35" borderId="19" xfId="0" applyFont="1" applyFill="1" applyBorder="1" applyAlignment="1" applyProtection="1">
      <alignment/>
      <protection/>
    </xf>
    <xf numFmtId="0" fontId="91" fillId="35" borderId="0" xfId="0" applyFont="1" applyFill="1" applyBorder="1" applyAlignment="1">
      <alignment horizontal="left"/>
    </xf>
    <xf numFmtId="0" fontId="91" fillId="35" borderId="0" xfId="0" applyFont="1" applyFill="1" applyAlignment="1">
      <alignment/>
    </xf>
    <xf numFmtId="0" fontId="91" fillId="35" borderId="0" xfId="0" applyFont="1" applyFill="1" applyAlignment="1" applyProtection="1">
      <alignment/>
      <protection locked="0"/>
    </xf>
    <xf numFmtId="1" fontId="7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77" fillId="0" borderId="13" xfId="0" applyFont="1" applyFill="1" applyBorder="1" applyAlignment="1">
      <alignment vertical="distributed" wrapText="1"/>
    </xf>
    <xf numFmtId="0" fontId="77" fillId="0" borderId="0" xfId="0" applyFont="1" applyFill="1" applyBorder="1" applyAlignment="1">
      <alignment vertical="distributed" wrapText="1"/>
    </xf>
    <xf numFmtId="0" fontId="77" fillId="0" borderId="14" xfId="0" applyFont="1" applyFill="1" applyBorder="1" applyAlignment="1">
      <alignment vertical="distributed" wrapText="1"/>
    </xf>
    <xf numFmtId="0" fontId="77" fillId="0" borderId="13" xfId="0" applyFont="1" applyFill="1" applyBorder="1" applyAlignment="1">
      <alignment horizontal="left" vertical="distributed" wrapText="1"/>
    </xf>
    <xf numFmtId="0" fontId="77" fillId="0" borderId="0" xfId="0" applyFont="1" applyFill="1" applyBorder="1" applyAlignment="1">
      <alignment horizontal="left" vertical="distributed" wrapText="1"/>
    </xf>
    <xf numFmtId="0" fontId="77" fillId="0" borderId="14" xfId="0" applyFont="1" applyFill="1" applyBorder="1" applyAlignment="1">
      <alignment horizontal="left" vertical="distributed" wrapText="1"/>
    </xf>
    <xf numFmtId="1" fontId="76" fillId="0" borderId="0" xfId="0" applyNumberFormat="1" applyFont="1" applyFill="1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73" fillId="0" borderId="38" xfId="0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41" fontId="0" fillId="0" borderId="38" xfId="0" applyNumberFormat="1" applyBorder="1" applyAlignment="1" applyProtection="1">
      <alignment/>
      <protection/>
    </xf>
    <xf numFmtId="41" fontId="0" fillId="0" borderId="18" xfId="0" applyNumberForma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41" fontId="0" fillId="0" borderId="40" xfId="0" applyNumberFormat="1" applyBorder="1" applyAlignment="1" applyProtection="1">
      <alignment/>
      <protection/>
    </xf>
    <xf numFmtId="41" fontId="0" fillId="0" borderId="43" xfId="0" applyNumberFormat="1" applyBorder="1" applyAlignment="1" applyProtection="1">
      <alignment/>
      <protection/>
    </xf>
    <xf numFmtId="0" fontId="58" fillId="36" borderId="54" xfId="0" applyFont="1" applyFill="1" applyBorder="1" applyAlignment="1" applyProtection="1">
      <alignment/>
      <protection/>
    </xf>
    <xf numFmtId="0" fontId="58" fillId="36" borderId="51" xfId="0" applyFont="1" applyFill="1" applyBorder="1" applyAlignment="1" applyProtection="1">
      <alignment/>
      <protection/>
    </xf>
    <xf numFmtId="0" fontId="58" fillId="36" borderId="0" xfId="0" applyFont="1" applyFill="1" applyBorder="1" applyAlignment="1" applyProtection="1">
      <alignment/>
      <protection/>
    </xf>
    <xf numFmtId="0" fontId="58" fillId="36" borderId="1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41" fontId="0" fillId="0" borderId="43" xfId="0" applyNumberFormat="1" applyBorder="1" applyAlignment="1" applyProtection="1">
      <alignment horizontal="right"/>
      <protection/>
    </xf>
    <xf numFmtId="3" fontId="0" fillId="0" borderId="43" xfId="0" applyNumberFormat="1" applyBorder="1" applyAlignment="1" applyProtection="1">
      <alignment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" fontId="73" fillId="0" borderId="0" xfId="0" applyNumberFormat="1" applyFont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67" fillId="0" borderId="0" xfId="52" applyAlignment="1" applyProtection="1">
      <alignment/>
      <protection locked="0"/>
    </xf>
    <xf numFmtId="0" fontId="75" fillId="0" borderId="13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93" fillId="0" borderId="16" xfId="0" applyFont="1" applyFill="1" applyBorder="1" applyAlignment="1">
      <alignment/>
    </xf>
    <xf numFmtId="0" fontId="73" fillId="0" borderId="17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textRotation="90" wrapText="1"/>
    </xf>
    <xf numFmtId="0" fontId="0" fillId="0" borderId="22" xfId="0" applyFont="1" applyFill="1" applyBorder="1" applyAlignment="1">
      <alignment horizontal="center" textRotation="90" wrapText="1"/>
    </xf>
    <xf numFmtId="0" fontId="0" fillId="0" borderId="63" xfId="0" applyFont="1" applyFill="1" applyBorder="1" applyAlignment="1">
      <alignment horizontal="center" textRotation="90" wrapText="1"/>
    </xf>
    <xf numFmtId="17" fontId="0" fillId="0" borderId="57" xfId="0" applyNumberFormat="1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0" fillId="0" borderId="57" xfId="0" applyFont="1" applyFill="1" applyBorder="1" applyAlignment="1">
      <alignment wrapText="1"/>
    </xf>
    <xf numFmtId="0" fontId="0" fillId="0" borderId="22" xfId="0" applyFont="1" applyFill="1" applyBorder="1" applyAlignment="1" applyProtection="1">
      <alignment/>
      <protection locked="0"/>
    </xf>
    <xf numFmtId="0" fontId="0" fillId="0" borderId="63" xfId="0" applyFont="1" applyFill="1" applyBorder="1" applyAlignment="1" applyProtection="1">
      <alignment/>
      <protection locked="0"/>
    </xf>
    <xf numFmtId="0" fontId="94" fillId="0" borderId="57" xfId="0" applyFont="1" applyFill="1" applyBorder="1" applyAlignment="1">
      <alignment wrapText="1"/>
    </xf>
    <xf numFmtId="0" fontId="95" fillId="0" borderId="57" xfId="0" applyFont="1" applyFill="1" applyBorder="1" applyAlignment="1">
      <alignment wrapText="1"/>
    </xf>
    <xf numFmtId="0" fontId="0" fillId="0" borderId="5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6" fillId="0" borderId="57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78" fillId="0" borderId="0" xfId="0" applyFont="1" applyAlignment="1" applyProtection="1">
      <alignment horizontal="center"/>
      <protection locked="0"/>
    </xf>
    <xf numFmtId="0" fontId="87" fillId="35" borderId="64" xfId="0" applyFont="1" applyFill="1" applyBorder="1" applyAlignment="1">
      <alignment horizontal="left" wrapText="1"/>
    </xf>
    <xf numFmtId="0" fontId="87" fillId="35" borderId="65" xfId="0" applyFont="1" applyFill="1" applyBorder="1" applyAlignment="1">
      <alignment horizontal="left" wrapText="1"/>
    </xf>
    <xf numFmtId="0" fontId="87" fillId="35" borderId="65" xfId="0" applyFont="1" applyFill="1" applyBorder="1" applyAlignment="1">
      <alignment horizontal="left"/>
    </xf>
    <xf numFmtId="0" fontId="87" fillId="35" borderId="64" xfId="0" applyFont="1" applyFill="1" applyBorder="1" applyAlignment="1">
      <alignment horizontal="left"/>
    </xf>
    <xf numFmtId="0" fontId="81" fillId="34" borderId="21" xfId="0" applyFont="1" applyFill="1" applyBorder="1" applyAlignment="1" applyProtection="1">
      <alignment horizontal="center"/>
      <protection locked="0"/>
    </xf>
    <xf numFmtId="0" fontId="81" fillId="34" borderId="22" xfId="0" applyFont="1" applyFill="1" applyBorder="1" applyAlignment="1" applyProtection="1">
      <alignment horizontal="center"/>
      <protection locked="0"/>
    </xf>
    <xf numFmtId="0" fontId="81" fillId="34" borderId="20" xfId="0" applyFont="1" applyFill="1" applyBorder="1" applyAlignment="1" applyProtection="1">
      <alignment horizontal="center"/>
      <protection locked="0"/>
    </xf>
    <xf numFmtId="0" fontId="87" fillId="35" borderId="64" xfId="0" applyFont="1" applyFill="1" applyBorder="1" applyAlignment="1">
      <alignment horizontal="left" vertical="center"/>
    </xf>
    <xf numFmtId="0" fontId="87" fillId="35" borderId="65" xfId="0" applyFont="1" applyFill="1" applyBorder="1" applyAlignment="1">
      <alignment horizontal="left" vertical="center"/>
    </xf>
    <xf numFmtId="0" fontId="81" fillId="34" borderId="19" xfId="0" applyFont="1" applyFill="1" applyBorder="1" applyAlignment="1" applyProtection="1">
      <alignment horizontal="center"/>
      <protection locked="0"/>
    </xf>
    <xf numFmtId="0" fontId="82" fillId="34" borderId="21" xfId="0" applyFont="1" applyFill="1" applyBorder="1" applyAlignment="1" applyProtection="1">
      <alignment horizontal="center"/>
      <protection locked="0"/>
    </xf>
    <xf numFmtId="0" fontId="88" fillId="35" borderId="25" xfId="0" applyFont="1" applyFill="1" applyBorder="1" applyAlignment="1" applyProtection="1">
      <alignment horizontal="center"/>
      <protection locked="0"/>
    </xf>
    <xf numFmtId="0" fontId="88" fillId="35" borderId="0" xfId="0" applyFont="1" applyFill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 vertical="center" wrapText="1"/>
      <protection locked="0"/>
    </xf>
    <xf numFmtId="49" fontId="81" fillId="34" borderId="19" xfId="0" applyNumberFormat="1" applyFont="1" applyFill="1" applyBorder="1" applyAlignment="1" applyProtection="1">
      <alignment horizontal="center"/>
      <protection locked="0"/>
    </xf>
    <xf numFmtId="49" fontId="81" fillId="34" borderId="66" xfId="0" applyNumberFormat="1" applyFont="1" applyFill="1" applyBorder="1" applyAlignment="1" applyProtection="1">
      <alignment horizontal="center"/>
      <protection locked="0"/>
    </xf>
    <xf numFmtId="0" fontId="87" fillId="35" borderId="67" xfId="0" applyFont="1" applyFill="1" applyBorder="1" applyAlignment="1">
      <alignment horizontal="center" wrapText="1"/>
    </xf>
    <xf numFmtId="0" fontId="87" fillId="35" borderId="0" xfId="0" applyFont="1" applyFill="1" applyBorder="1" applyAlignment="1">
      <alignment horizontal="center" wrapText="1"/>
    </xf>
    <xf numFmtId="0" fontId="79" fillId="33" borderId="0" xfId="0" applyFont="1" applyFill="1" applyAlignment="1">
      <alignment horizontal="center" vertical="center"/>
    </xf>
    <xf numFmtId="0" fontId="98" fillId="34" borderId="21" xfId="0" applyFont="1" applyFill="1" applyBorder="1" applyAlignment="1" applyProtection="1">
      <alignment horizontal="center"/>
      <protection locked="0"/>
    </xf>
    <xf numFmtId="0" fontId="82" fillId="35" borderId="0" xfId="0" applyFont="1" applyFill="1" applyBorder="1" applyAlignment="1">
      <alignment horizontal="center"/>
    </xf>
    <xf numFmtId="164" fontId="99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 horizontal="center"/>
      <protection/>
    </xf>
    <xf numFmtId="0" fontId="101" fillId="0" borderId="21" xfId="0" applyFont="1" applyBorder="1" applyAlignment="1" applyProtection="1">
      <alignment horizontal="left"/>
      <protection/>
    </xf>
    <xf numFmtId="0" fontId="73" fillId="0" borderId="39" xfId="0" applyFont="1" applyFill="1" applyBorder="1" applyAlignment="1" applyProtection="1">
      <alignment horizontal="right"/>
      <protection/>
    </xf>
    <xf numFmtId="0" fontId="73" fillId="0" borderId="38" xfId="0" applyFont="1" applyFill="1" applyBorder="1" applyAlignment="1" applyProtection="1">
      <alignment horizontal="right"/>
      <protection/>
    </xf>
    <xf numFmtId="0" fontId="73" fillId="0" borderId="18" xfId="0" applyFont="1" applyFill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58" fillId="36" borderId="68" xfId="0" applyFont="1" applyFill="1" applyBorder="1" applyAlignment="1" applyProtection="1">
      <alignment horizontal="center"/>
      <protection/>
    </xf>
    <xf numFmtId="0" fontId="58" fillId="36" borderId="69" xfId="0" applyFont="1" applyFill="1" applyBorder="1" applyAlignment="1" applyProtection="1">
      <alignment horizontal="center"/>
      <protection/>
    </xf>
    <xf numFmtId="0" fontId="58" fillId="36" borderId="70" xfId="0" applyFont="1" applyFill="1" applyBorder="1" applyAlignment="1" applyProtection="1">
      <alignment horizontal="center"/>
      <protection/>
    </xf>
    <xf numFmtId="0" fontId="58" fillId="36" borderId="45" xfId="0" applyFont="1" applyFill="1" applyBorder="1" applyAlignment="1" applyProtection="1">
      <alignment horizontal="center"/>
      <protection/>
    </xf>
    <xf numFmtId="0" fontId="58" fillId="36" borderId="71" xfId="0" applyFont="1" applyFill="1" applyBorder="1" applyAlignment="1" applyProtection="1">
      <alignment horizontal="center"/>
      <protection/>
    </xf>
    <xf numFmtId="0" fontId="58" fillId="36" borderId="72" xfId="0" applyFont="1" applyFill="1" applyBorder="1" applyAlignment="1" applyProtection="1">
      <alignment horizontal="center"/>
      <protection/>
    </xf>
    <xf numFmtId="14" fontId="73" fillId="0" borderId="21" xfId="0" applyNumberFormat="1" applyFont="1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73" fillId="0" borderId="49" xfId="0" applyFont="1" applyBorder="1" applyAlignment="1" applyProtection="1">
      <alignment horizontal="center"/>
      <protection/>
    </xf>
    <xf numFmtId="0" fontId="73" fillId="0" borderId="50" xfId="0" applyFont="1" applyBorder="1" applyAlignment="1" applyProtection="1">
      <alignment horizontal="center"/>
      <protection/>
    </xf>
    <xf numFmtId="0" fontId="73" fillId="0" borderId="39" xfId="0" applyFont="1" applyBorder="1" applyAlignment="1" applyProtection="1">
      <alignment horizontal="center"/>
      <protection/>
    </xf>
    <xf numFmtId="0" fontId="73" fillId="0" borderId="18" xfId="0" applyFont="1" applyBorder="1" applyAlignment="1" applyProtection="1">
      <alignment horizontal="center"/>
      <protection/>
    </xf>
    <xf numFmtId="0" fontId="73" fillId="0" borderId="57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22" xfId="0" applyFont="1" applyBorder="1" applyAlignment="1" applyProtection="1">
      <alignment horizontal="center"/>
      <protection/>
    </xf>
    <xf numFmtId="0" fontId="73" fillId="0" borderId="19" xfId="0" applyFont="1" applyBorder="1" applyAlignment="1" applyProtection="1">
      <alignment horizontal="center"/>
      <protection/>
    </xf>
    <xf numFmtId="0" fontId="73" fillId="0" borderId="20" xfId="0" applyFont="1" applyBorder="1" applyAlignment="1" applyProtection="1">
      <alignment horizontal="center"/>
      <protection/>
    </xf>
    <xf numFmtId="0" fontId="73" fillId="0" borderId="63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73" fillId="0" borderId="49" xfId="0" applyFont="1" applyBorder="1" applyAlignment="1" applyProtection="1">
      <alignment horizontal="center" vertical="top" wrapText="1"/>
      <protection/>
    </xf>
    <xf numFmtId="0" fontId="73" fillId="0" borderId="51" xfId="0" applyFont="1" applyBorder="1" applyAlignment="1" applyProtection="1">
      <alignment horizontal="center" vertical="top"/>
      <protection/>
    </xf>
    <xf numFmtId="0" fontId="73" fillId="0" borderId="25" xfId="0" applyFont="1" applyBorder="1" applyAlignment="1" applyProtection="1">
      <alignment horizontal="center" vertical="top"/>
      <protection/>
    </xf>
    <xf numFmtId="0" fontId="73" fillId="0" borderId="14" xfId="0" applyFont="1" applyBorder="1" applyAlignment="1" applyProtection="1">
      <alignment horizontal="center" vertical="top"/>
      <protection/>
    </xf>
    <xf numFmtId="0" fontId="73" fillId="0" borderId="39" xfId="0" applyFont="1" applyBorder="1" applyAlignment="1" applyProtection="1">
      <alignment horizontal="center" vertical="top"/>
      <protection/>
    </xf>
    <xf numFmtId="0" fontId="73" fillId="0" borderId="40" xfId="0" applyFont="1" applyBorder="1" applyAlignment="1" applyProtection="1">
      <alignment horizontal="center" vertical="top"/>
      <protection/>
    </xf>
    <xf numFmtId="0" fontId="73" fillId="0" borderId="25" xfId="0" applyFont="1" applyBorder="1" applyAlignment="1" applyProtection="1">
      <alignment horizontal="left"/>
      <protection/>
    </xf>
    <xf numFmtId="0" fontId="73" fillId="0" borderId="0" xfId="0" applyFont="1" applyBorder="1" applyAlignment="1" applyProtection="1">
      <alignment horizontal="left"/>
      <protection/>
    </xf>
    <xf numFmtId="0" fontId="73" fillId="0" borderId="14" xfId="0" applyFont="1" applyBorder="1" applyAlignment="1" applyProtection="1">
      <alignment horizontal="left"/>
      <protection/>
    </xf>
    <xf numFmtId="0" fontId="73" fillId="0" borderId="13" xfId="0" applyFont="1" applyBorder="1" applyAlignment="1" applyProtection="1">
      <alignment horizontal="left"/>
      <protection/>
    </xf>
    <xf numFmtId="0" fontId="73" fillId="0" borderId="26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55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73" fillId="0" borderId="54" xfId="0" applyFont="1" applyBorder="1" applyAlignment="1" applyProtection="1">
      <alignment horizontal="center"/>
      <protection/>
    </xf>
    <xf numFmtId="0" fontId="73" fillId="0" borderId="51" xfId="0" applyFont="1" applyBorder="1" applyAlignment="1" applyProtection="1">
      <alignment horizontal="center"/>
      <protection/>
    </xf>
    <xf numFmtId="0" fontId="73" fillId="0" borderId="38" xfId="0" applyFont="1" applyBorder="1" applyAlignment="1" applyProtection="1">
      <alignment horizontal="center"/>
      <protection/>
    </xf>
    <xf numFmtId="0" fontId="73" fillId="0" borderId="4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57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63" xfId="0" applyBorder="1" applyAlignment="1" applyProtection="1">
      <alignment horizontal="left"/>
      <protection/>
    </xf>
    <xf numFmtId="14" fontId="73" fillId="0" borderId="0" xfId="0" applyNumberFormat="1" applyFont="1" applyBorder="1" applyAlignment="1" applyProtection="1">
      <alignment horizontal="left"/>
      <protection/>
    </xf>
    <xf numFmtId="0" fontId="0" fillId="0" borderId="43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left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right"/>
      <protection/>
    </xf>
    <xf numFmtId="0" fontId="0" fillId="0" borderId="51" xfId="0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horizontal="right" vertical="center"/>
      <protection/>
    </xf>
    <xf numFmtId="0" fontId="102" fillId="0" borderId="22" xfId="0" applyFont="1" applyBorder="1" applyAlignment="1" applyProtection="1">
      <alignment horizontal="left"/>
      <protection/>
    </xf>
    <xf numFmtId="0" fontId="102" fillId="0" borderId="19" xfId="0" applyFont="1" applyBorder="1" applyAlignment="1" applyProtection="1">
      <alignment horizontal="left"/>
      <protection/>
    </xf>
    <xf numFmtId="0" fontId="102" fillId="0" borderId="20" xfId="0" applyFont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 horizontal="left"/>
      <protection hidden="1"/>
    </xf>
    <xf numFmtId="0" fontId="7" fillId="0" borderId="38" xfId="0" applyFont="1" applyFill="1" applyBorder="1" applyAlignment="1" applyProtection="1">
      <alignment horizontal="left"/>
      <protection hidden="1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7" fillId="0" borderId="25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" fontId="4" fillId="0" borderId="36" xfId="0" applyNumberFormat="1" applyFont="1" applyFill="1" applyBorder="1" applyAlignment="1" applyProtection="1">
      <alignment horizontal="center"/>
      <protection hidden="1"/>
    </xf>
    <xf numFmtId="0" fontId="4" fillId="0" borderId="7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6" fillId="0" borderId="25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0" borderId="37" xfId="0" applyFont="1" applyFill="1" applyBorder="1" applyAlignment="1" applyProtection="1">
      <alignment horizontal="left" vertical="center"/>
      <protection hidden="1"/>
    </xf>
    <xf numFmtId="0" fontId="4" fillId="0" borderId="38" xfId="0" applyFont="1" applyFill="1" applyBorder="1" applyAlignment="1" applyProtection="1">
      <alignment horizontal="left" vertical="center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left" vertical="center" shrinkToFit="1"/>
      <protection hidden="1"/>
    </xf>
    <xf numFmtId="0" fontId="6" fillId="0" borderId="40" xfId="0" applyFont="1" applyFill="1" applyBorder="1" applyAlignment="1" applyProtection="1">
      <alignment horizontal="left" vertical="center" shrinkToFit="1"/>
      <protection hidden="1"/>
    </xf>
    <xf numFmtId="0" fontId="7" fillId="0" borderId="42" xfId="0" applyFont="1" applyFill="1" applyBorder="1" applyAlignment="1" applyProtection="1">
      <alignment horizontal="right" vertical="center"/>
      <protection hidden="1"/>
    </xf>
    <xf numFmtId="0" fontId="7" fillId="0" borderId="42" xfId="0" applyFont="1" applyFill="1" applyBorder="1" applyAlignment="1" applyProtection="1">
      <alignment horizontal="left" vertical="center"/>
      <protection hidden="1"/>
    </xf>
    <xf numFmtId="0" fontId="7" fillId="0" borderId="76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left" vertical="center"/>
      <protection hidden="1"/>
    </xf>
    <xf numFmtId="0" fontId="5" fillId="0" borderId="54" xfId="0" applyFont="1" applyFill="1" applyBorder="1" applyAlignment="1" applyProtection="1">
      <alignment horizontal="left" vertical="center"/>
      <protection hidden="1"/>
    </xf>
    <xf numFmtId="0" fontId="6" fillId="0" borderId="54" xfId="0" applyFont="1" applyFill="1" applyBorder="1" applyAlignment="1" applyProtection="1">
      <alignment horizontal="left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left" vertical="center" shrinkToFit="1"/>
      <protection hidden="1"/>
    </xf>
    <xf numFmtId="0" fontId="6" fillId="0" borderId="51" xfId="0" applyFont="1" applyFill="1" applyBorder="1" applyAlignment="1" applyProtection="1">
      <alignment horizontal="left" vertical="center" shrinkToFit="1"/>
      <protection hidden="1"/>
    </xf>
    <xf numFmtId="0" fontId="103" fillId="0" borderId="10" xfId="0" applyFont="1" applyFill="1" applyBorder="1" applyAlignment="1">
      <alignment horizontal="center"/>
    </xf>
    <xf numFmtId="0" fontId="103" fillId="0" borderId="11" xfId="0" applyFont="1" applyFill="1" applyBorder="1" applyAlignment="1">
      <alignment horizontal="center"/>
    </xf>
    <xf numFmtId="0" fontId="103" fillId="0" borderId="12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left" vertical="distributed" wrapText="1"/>
    </xf>
    <xf numFmtId="0" fontId="77" fillId="0" borderId="0" xfId="0" applyFont="1" applyFill="1" applyBorder="1" applyAlignment="1">
      <alignment horizontal="left" vertical="distributed" wrapText="1"/>
    </xf>
    <xf numFmtId="0" fontId="77" fillId="0" borderId="14" xfId="0" applyFont="1" applyFill="1" applyBorder="1" applyAlignment="1">
      <alignment horizontal="left" vertical="distributed" wrapText="1"/>
    </xf>
    <xf numFmtId="0" fontId="77" fillId="0" borderId="0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horizontal="center" vertical="top" wrapText="1"/>
    </xf>
    <xf numFmtId="0" fontId="102" fillId="0" borderId="21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104775</xdr:rowOff>
    </xdr:from>
    <xdr:to>
      <xdr:col>21</xdr:col>
      <xdr:colOff>85725</xdr:colOff>
      <xdr:row>11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4410075" y="104775"/>
          <a:ext cx="1819275" cy="5686425"/>
          <a:chOff x="5843587" y="152400"/>
          <a:chExt cx="1620001" cy="2457600"/>
        </a:xfrm>
        <a:solidFill>
          <a:srgbClr val="FFFFFF"/>
        </a:solidFill>
      </xdr:grpSpPr>
      <xdr:sp macro="[0]!Macro4">
        <xdr:nvSpPr>
          <xdr:cNvPr id="2" name="Oval 21"/>
          <xdr:cNvSpPr>
            <a:spLocks/>
          </xdr:cNvSpPr>
        </xdr:nvSpPr>
        <xdr:spPr>
          <a:xfrm>
            <a:off x="5843587" y="1752912"/>
            <a:ext cx="1620001" cy="323789"/>
          </a:xfrm>
          <a:prstGeom prst="ellipse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Annexure-I</a:t>
            </a:r>
          </a:p>
        </xdr:txBody>
      </xdr:sp>
      <xdr:sp macro="[0]!Macro1">
        <xdr:nvSpPr>
          <xdr:cNvPr id="3" name="Oval 23"/>
          <xdr:cNvSpPr>
            <a:spLocks/>
          </xdr:cNvSpPr>
        </xdr:nvSpPr>
        <xdr:spPr>
          <a:xfrm>
            <a:off x="5843587" y="152400"/>
            <a:ext cx="1620001" cy="323789"/>
          </a:xfrm>
          <a:prstGeom prst="ellipse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Salary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Table</a:t>
            </a:r>
          </a:p>
        </xdr:txBody>
      </xdr:sp>
      <xdr:sp macro="[0]!Macro2">
        <xdr:nvSpPr>
          <xdr:cNvPr id="4" name="Oval 24"/>
          <xdr:cNvSpPr>
            <a:spLocks/>
          </xdr:cNvSpPr>
        </xdr:nvSpPr>
        <xdr:spPr>
          <a:xfrm>
            <a:off x="5843587" y="685699"/>
            <a:ext cx="1620001" cy="323789"/>
          </a:xfrm>
          <a:prstGeom prst="ellipse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 Front</a:t>
            </a:r>
          </a:p>
        </xdr:txBody>
      </xdr:sp>
      <xdr:sp macro="[0]!Macro3">
        <xdr:nvSpPr>
          <xdr:cNvPr id="5" name="Oval 25"/>
          <xdr:cNvSpPr>
            <a:spLocks/>
          </xdr:cNvSpPr>
        </xdr:nvSpPr>
        <xdr:spPr>
          <a:xfrm>
            <a:off x="5843587" y="1218998"/>
            <a:ext cx="1620001" cy="323789"/>
          </a:xfrm>
          <a:prstGeom prst="ellipse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Back</a:t>
            </a:r>
          </a:p>
        </xdr:txBody>
      </xdr:sp>
      <xdr:sp macro="[0]!Macro5">
        <xdr:nvSpPr>
          <xdr:cNvPr id="6" name="Oval 28"/>
          <xdr:cNvSpPr>
            <a:spLocks/>
          </xdr:cNvSpPr>
        </xdr:nvSpPr>
        <xdr:spPr>
          <a:xfrm>
            <a:off x="5843587" y="2286211"/>
            <a:ext cx="1620001" cy="323789"/>
          </a:xfrm>
          <a:prstGeom prst="ellipse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EEECE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HR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Declaration</a:t>
            </a:r>
          </a:p>
        </xdr:txBody>
      </xdr:sp>
    </xdr:grpSp>
    <xdr:clientData/>
  </xdr:twoCellAnchor>
  <xdr:twoCellAnchor>
    <xdr:from>
      <xdr:col>4</xdr:col>
      <xdr:colOff>142875</xdr:colOff>
      <xdr:row>24</xdr:row>
      <xdr:rowOff>190500</xdr:rowOff>
    </xdr:from>
    <xdr:to>
      <xdr:col>5</xdr:col>
      <xdr:colOff>1009650</xdr:colOff>
      <xdr:row>26</xdr:row>
      <xdr:rowOff>0</xdr:rowOff>
    </xdr:to>
    <xdr:grpSp>
      <xdr:nvGrpSpPr>
        <xdr:cNvPr id="7" name="Group 1"/>
        <xdr:cNvGrpSpPr>
          <a:grpSpLocks/>
        </xdr:cNvGrpSpPr>
      </xdr:nvGrpSpPr>
      <xdr:grpSpPr>
        <a:xfrm>
          <a:off x="2447925" y="9401175"/>
          <a:ext cx="1724025" cy="228600"/>
          <a:chOff x="2286000" y="5876925"/>
          <a:chExt cx="1638300" cy="22860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27</xdr:row>
      <xdr:rowOff>180975</xdr:rowOff>
    </xdr:from>
    <xdr:to>
      <xdr:col>16</xdr:col>
      <xdr:colOff>381000</xdr:colOff>
      <xdr:row>29</xdr:row>
      <xdr:rowOff>114300</xdr:rowOff>
    </xdr:to>
    <xdr:sp macro="[0]!Macro5">
      <xdr:nvSpPr>
        <xdr:cNvPr id="1" name="Oval 3"/>
        <xdr:cNvSpPr>
          <a:spLocks/>
        </xdr:cNvSpPr>
      </xdr:nvSpPr>
      <xdr:spPr>
        <a:xfrm>
          <a:off x="5924550" y="6896100"/>
          <a:ext cx="1514475" cy="3238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HR Declaration</a:t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1</xdr:col>
      <xdr:colOff>542925</xdr:colOff>
      <xdr:row>29</xdr:row>
      <xdr:rowOff>76200</xdr:rowOff>
    </xdr:to>
    <xdr:sp macro="[0]!Macro6">
      <xdr:nvSpPr>
        <xdr:cNvPr id="2" name="Oval 9"/>
        <xdr:cNvSpPr>
          <a:spLocks/>
        </xdr:cNvSpPr>
      </xdr:nvSpPr>
      <xdr:spPr>
        <a:xfrm>
          <a:off x="0" y="6858000"/>
          <a:ext cx="1209675" cy="3238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Sheet</a:t>
          </a:r>
        </a:p>
      </xdr:txBody>
    </xdr:sp>
    <xdr:clientData/>
  </xdr:twoCellAnchor>
  <xdr:twoCellAnchor>
    <xdr:from>
      <xdr:col>2</xdr:col>
      <xdr:colOff>0</xdr:colOff>
      <xdr:row>27</xdr:row>
      <xdr:rowOff>142875</xdr:rowOff>
    </xdr:from>
    <xdr:to>
      <xdr:col>5</xdr:col>
      <xdr:colOff>104775</xdr:colOff>
      <xdr:row>29</xdr:row>
      <xdr:rowOff>76200</xdr:rowOff>
    </xdr:to>
    <xdr:sp macro="[0]!Macro2">
      <xdr:nvSpPr>
        <xdr:cNvPr id="3" name="Oval 10"/>
        <xdr:cNvSpPr>
          <a:spLocks/>
        </xdr:cNvSpPr>
      </xdr:nvSpPr>
      <xdr:spPr>
        <a:xfrm>
          <a:off x="1228725" y="6858000"/>
          <a:ext cx="1400175" cy="3238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Form-16 Front</a:t>
          </a:r>
        </a:p>
      </xdr:txBody>
    </xdr:sp>
    <xdr:clientData/>
  </xdr:twoCellAnchor>
  <xdr:twoCellAnchor>
    <xdr:from>
      <xdr:col>5</xdr:col>
      <xdr:colOff>238125</xdr:colOff>
      <xdr:row>27</xdr:row>
      <xdr:rowOff>171450</xdr:rowOff>
    </xdr:from>
    <xdr:to>
      <xdr:col>9</xdr:col>
      <xdr:colOff>47625</xdr:colOff>
      <xdr:row>29</xdr:row>
      <xdr:rowOff>104775</xdr:rowOff>
    </xdr:to>
    <xdr:sp macro="[0]!Macro3">
      <xdr:nvSpPr>
        <xdr:cNvPr id="4" name="Oval 11"/>
        <xdr:cNvSpPr>
          <a:spLocks/>
        </xdr:cNvSpPr>
      </xdr:nvSpPr>
      <xdr:spPr>
        <a:xfrm>
          <a:off x="2762250" y="6886575"/>
          <a:ext cx="1438275" cy="3238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Form-16 Back</a:t>
          </a:r>
        </a:p>
      </xdr:txBody>
    </xdr:sp>
    <xdr:clientData/>
  </xdr:twoCellAnchor>
  <xdr:twoCellAnchor>
    <xdr:from>
      <xdr:col>9</xdr:col>
      <xdr:colOff>152400</xdr:colOff>
      <xdr:row>27</xdr:row>
      <xdr:rowOff>161925</xdr:rowOff>
    </xdr:from>
    <xdr:to>
      <xdr:col>12</xdr:col>
      <xdr:colOff>314325</xdr:colOff>
      <xdr:row>29</xdr:row>
      <xdr:rowOff>95250</xdr:rowOff>
    </xdr:to>
    <xdr:sp macro="[0]!Macro4">
      <xdr:nvSpPr>
        <xdr:cNvPr id="5" name="Oval 12"/>
        <xdr:cNvSpPr>
          <a:spLocks/>
        </xdr:cNvSpPr>
      </xdr:nvSpPr>
      <xdr:spPr>
        <a:xfrm>
          <a:off x="4305300" y="6877050"/>
          <a:ext cx="1581150" cy="323850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Annexur-I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38100</xdr:rowOff>
    </xdr:from>
    <xdr:to>
      <xdr:col>16</xdr:col>
      <xdr:colOff>190500</xdr:colOff>
      <xdr:row>5</xdr:row>
      <xdr:rowOff>66675</xdr:rowOff>
    </xdr:to>
    <xdr:sp macro="[0]!Macro6">
      <xdr:nvSpPr>
        <xdr:cNvPr id="1" name="Oval 1"/>
        <xdr:cNvSpPr>
          <a:spLocks/>
        </xdr:cNvSpPr>
      </xdr:nvSpPr>
      <xdr:spPr>
        <a:xfrm>
          <a:off x="6924675" y="809625"/>
          <a:ext cx="1485900" cy="3714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Sheet</a:t>
          </a:r>
        </a:p>
      </xdr:txBody>
    </xdr:sp>
    <xdr:clientData/>
  </xdr:twoCellAnchor>
  <xdr:twoCellAnchor>
    <xdr:from>
      <xdr:col>14</xdr:col>
      <xdr:colOff>28575</xdr:colOff>
      <xdr:row>6</xdr:row>
      <xdr:rowOff>104775</xdr:rowOff>
    </xdr:from>
    <xdr:to>
      <xdr:col>16</xdr:col>
      <xdr:colOff>209550</xdr:colOff>
      <xdr:row>9</xdr:row>
      <xdr:rowOff>85725</xdr:rowOff>
    </xdr:to>
    <xdr:sp macro="[0]!Macro1">
      <xdr:nvSpPr>
        <xdr:cNvPr id="2" name="Oval 3"/>
        <xdr:cNvSpPr>
          <a:spLocks/>
        </xdr:cNvSpPr>
      </xdr:nvSpPr>
      <xdr:spPr>
        <a:xfrm>
          <a:off x="6943725" y="1390650"/>
          <a:ext cx="1485900" cy="3714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Salary Table</a:t>
          </a:r>
        </a:p>
      </xdr:txBody>
    </xdr:sp>
    <xdr:clientData/>
  </xdr:twoCellAnchor>
  <xdr:twoCellAnchor>
    <xdr:from>
      <xdr:col>14</xdr:col>
      <xdr:colOff>76200</xdr:colOff>
      <xdr:row>11</xdr:row>
      <xdr:rowOff>28575</xdr:rowOff>
    </xdr:from>
    <xdr:to>
      <xdr:col>16</xdr:col>
      <xdr:colOff>257175</xdr:colOff>
      <xdr:row>12</xdr:row>
      <xdr:rowOff>57150</xdr:rowOff>
    </xdr:to>
    <xdr:sp macro="[0]!Macro3">
      <xdr:nvSpPr>
        <xdr:cNvPr id="3" name="Oval 4"/>
        <xdr:cNvSpPr>
          <a:spLocks/>
        </xdr:cNvSpPr>
      </xdr:nvSpPr>
      <xdr:spPr>
        <a:xfrm>
          <a:off x="6991350" y="2066925"/>
          <a:ext cx="1485900" cy="3714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From-16 Back</a:t>
          </a:r>
        </a:p>
      </xdr:txBody>
    </xdr:sp>
    <xdr:clientData/>
  </xdr:twoCellAnchor>
  <xdr:twoCellAnchor>
    <xdr:from>
      <xdr:col>14</xdr:col>
      <xdr:colOff>104775</xdr:colOff>
      <xdr:row>13</xdr:row>
      <xdr:rowOff>76200</xdr:rowOff>
    </xdr:from>
    <xdr:to>
      <xdr:col>16</xdr:col>
      <xdr:colOff>285750</xdr:colOff>
      <xdr:row>15</xdr:row>
      <xdr:rowOff>104775</xdr:rowOff>
    </xdr:to>
    <xdr:sp macro="[0]!Macro4">
      <xdr:nvSpPr>
        <xdr:cNvPr id="4" name="Oval 5"/>
        <xdr:cNvSpPr>
          <a:spLocks/>
        </xdr:cNvSpPr>
      </xdr:nvSpPr>
      <xdr:spPr>
        <a:xfrm>
          <a:off x="7019925" y="2628900"/>
          <a:ext cx="1485900" cy="3714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Annexure-I</a:t>
          </a:r>
        </a:p>
      </xdr:txBody>
    </xdr:sp>
    <xdr:clientData/>
  </xdr:twoCellAnchor>
  <xdr:twoCellAnchor>
    <xdr:from>
      <xdr:col>14</xdr:col>
      <xdr:colOff>142875</xdr:colOff>
      <xdr:row>17</xdr:row>
      <xdr:rowOff>28575</xdr:rowOff>
    </xdr:from>
    <xdr:to>
      <xdr:col>16</xdr:col>
      <xdr:colOff>323850</xdr:colOff>
      <xdr:row>20</xdr:row>
      <xdr:rowOff>28575</xdr:rowOff>
    </xdr:to>
    <xdr:sp macro="[0]!Macro5">
      <xdr:nvSpPr>
        <xdr:cNvPr id="5" name="Oval 6"/>
        <xdr:cNvSpPr>
          <a:spLocks/>
        </xdr:cNvSpPr>
      </xdr:nvSpPr>
      <xdr:spPr>
        <a:xfrm>
          <a:off x="7058025" y="3267075"/>
          <a:ext cx="1485900" cy="371475"/>
        </a:xfrm>
        <a:prstGeom prst="ellipse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HR Declaration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514350</xdr:colOff>
      <xdr:row>1</xdr:row>
      <xdr:rowOff>133350</xdr:rowOff>
    </xdr:from>
    <xdr:to>
      <xdr:col>134</xdr:col>
      <xdr:colOff>209550</xdr:colOff>
      <xdr:row>10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43725" y="371475"/>
          <a:ext cx="1514475" cy="1752600"/>
          <a:chOff x="6896099" y="314324"/>
          <a:chExt cx="1514476" cy="2010150"/>
        </a:xfrm>
        <a:solidFill>
          <a:srgbClr val="FFFFFF"/>
        </a:solidFill>
      </xdr:grpSpPr>
      <xdr:sp macro="[0]!Macro6">
        <xdr:nvSpPr>
          <xdr:cNvPr id="2" name="Oval 2"/>
          <xdr:cNvSpPr>
            <a:spLocks/>
          </xdr:cNvSpPr>
        </xdr:nvSpPr>
        <xdr:spPr>
          <a:xfrm>
            <a:off x="6896099" y="314324"/>
            <a:ext cx="1514476" cy="349766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Data Sheet</a:t>
            </a:r>
          </a:p>
        </xdr:txBody>
      </xdr:sp>
      <xdr:sp macro="[0]!Macro1">
        <xdr:nvSpPr>
          <xdr:cNvPr id="3" name="Oval 4"/>
          <xdr:cNvSpPr>
            <a:spLocks/>
          </xdr:cNvSpPr>
        </xdr:nvSpPr>
        <xdr:spPr>
          <a:xfrm>
            <a:off x="6896099" y="718364"/>
            <a:ext cx="1514476" cy="371375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Salary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Table</a:t>
            </a:r>
          </a:p>
        </xdr:txBody>
      </xdr:sp>
      <xdr:sp macro="[0]!Macro2">
        <xdr:nvSpPr>
          <xdr:cNvPr id="4" name="Oval 5"/>
          <xdr:cNvSpPr>
            <a:spLocks/>
          </xdr:cNvSpPr>
        </xdr:nvSpPr>
        <xdr:spPr>
          <a:xfrm>
            <a:off x="6896099" y="1144516"/>
            <a:ext cx="1514476" cy="349766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 Front</a:t>
            </a:r>
          </a:p>
        </xdr:txBody>
      </xdr:sp>
      <xdr:sp macro="[0]!Macro4">
        <xdr:nvSpPr>
          <xdr:cNvPr id="5" name="Oval 6"/>
          <xdr:cNvSpPr>
            <a:spLocks/>
          </xdr:cNvSpPr>
        </xdr:nvSpPr>
        <xdr:spPr>
          <a:xfrm>
            <a:off x="6896099" y="1549059"/>
            <a:ext cx="1514476" cy="371375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Annexure-I</a:t>
            </a:r>
          </a:p>
        </xdr:txBody>
      </xdr:sp>
      <xdr:sp macro="[0]!Macro5">
        <xdr:nvSpPr>
          <xdr:cNvPr id="6" name="Oval 7"/>
          <xdr:cNvSpPr>
            <a:spLocks/>
          </xdr:cNvSpPr>
        </xdr:nvSpPr>
        <xdr:spPr>
          <a:xfrm>
            <a:off x="6896099" y="1974708"/>
            <a:ext cx="1514476" cy="349766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HR Declaration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</xdr:row>
      <xdr:rowOff>9525</xdr:rowOff>
    </xdr:from>
    <xdr:to>
      <xdr:col>26</xdr:col>
      <xdr:colOff>590550</xdr:colOff>
      <xdr:row>14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6943725" y="390525"/>
          <a:ext cx="1800225" cy="2333625"/>
          <a:chOff x="6943724" y="457200"/>
          <a:chExt cx="1800000" cy="2503281"/>
        </a:xfrm>
        <a:solidFill>
          <a:srgbClr val="FFFFFF"/>
        </a:solidFill>
      </xdr:grpSpPr>
      <xdr:sp macro="[0]!Macro6">
        <xdr:nvSpPr>
          <xdr:cNvPr id="2" name="Oval 1"/>
          <xdr:cNvSpPr>
            <a:spLocks/>
          </xdr:cNvSpPr>
        </xdr:nvSpPr>
        <xdr:spPr>
          <a:xfrm>
            <a:off x="6943724" y="457200"/>
            <a:ext cx="1800000" cy="398647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Data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Sheet</a:t>
            </a:r>
          </a:p>
        </xdr:txBody>
      </xdr:sp>
      <xdr:sp macro="[0]!Macro1">
        <xdr:nvSpPr>
          <xdr:cNvPr id="3" name="Oval 3"/>
          <xdr:cNvSpPr>
            <a:spLocks/>
          </xdr:cNvSpPr>
        </xdr:nvSpPr>
        <xdr:spPr>
          <a:xfrm>
            <a:off x="6943724" y="978508"/>
            <a:ext cx="1800000" cy="398647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Salary Table</a:t>
            </a:r>
          </a:p>
        </xdr:txBody>
      </xdr:sp>
      <xdr:sp macro="[0]!Macro2">
        <xdr:nvSpPr>
          <xdr:cNvPr id="4" name="Oval 4"/>
          <xdr:cNvSpPr>
            <a:spLocks/>
          </xdr:cNvSpPr>
        </xdr:nvSpPr>
        <xdr:spPr>
          <a:xfrm>
            <a:off x="6943724" y="1509830"/>
            <a:ext cx="1800000" cy="398647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</a:t>
            </a: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Front</a:t>
            </a:r>
          </a:p>
        </xdr:txBody>
      </xdr:sp>
      <xdr:sp macro="[0]!Macro3">
        <xdr:nvSpPr>
          <xdr:cNvPr id="5" name="Oval 5"/>
          <xdr:cNvSpPr>
            <a:spLocks/>
          </xdr:cNvSpPr>
        </xdr:nvSpPr>
        <xdr:spPr>
          <a:xfrm>
            <a:off x="6943724" y="2030512"/>
            <a:ext cx="1800000" cy="398647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 Back</a:t>
            </a:r>
          </a:p>
        </xdr:txBody>
      </xdr:sp>
      <xdr:sp macro="[0]!Macro5">
        <xdr:nvSpPr>
          <xdr:cNvPr id="6" name="Oval 6"/>
          <xdr:cNvSpPr>
            <a:spLocks/>
          </xdr:cNvSpPr>
        </xdr:nvSpPr>
        <xdr:spPr>
          <a:xfrm>
            <a:off x="6943724" y="2561834"/>
            <a:ext cx="1800000" cy="398647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HR Deckaration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</xdr:row>
      <xdr:rowOff>57150</xdr:rowOff>
    </xdr:from>
    <xdr:to>
      <xdr:col>15</xdr:col>
      <xdr:colOff>428625</xdr:colOff>
      <xdr:row>15</xdr:row>
      <xdr:rowOff>95250</xdr:rowOff>
    </xdr:to>
    <xdr:grpSp>
      <xdr:nvGrpSpPr>
        <xdr:cNvPr id="1" name="Group 2"/>
        <xdr:cNvGrpSpPr>
          <a:grpSpLocks/>
        </xdr:cNvGrpSpPr>
      </xdr:nvGrpSpPr>
      <xdr:grpSpPr>
        <a:xfrm>
          <a:off x="6343650" y="514350"/>
          <a:ext cx="1800225" cy="2400300"/>
          <a:chOff x="6343650" y="514350"/>
          <a:chExt cx="1800000" cy="2400846"/>
        </a:xfrm>
        <a:solidFill>
          <a:srgbClr val="FFFFFF"/>
        </a:solidFill>
      </xdr:grpSpPr>
      <xdr:sp macro="[0]!Macro6">
        <xdr:nvSpPr>
          <xdr:cNvPr id="2" name="Oval 1"/>
          <xdr:cNvSpPr>
            <a:spLocks/>
          </xdr:cNvSpPr>
        </xdr:nvSpPr>
        <xdr:spPr>
          <a:xfrm>
            <a:off x="6343650" y="514350"/>
            <a:ext cx="1800000" cy="371531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Data Sheet</a:t>
            </a:r>
          </a:p>
        </xdr:txBody>
      </xdr:sp>
      <xdr:sp macro="[0]!Macro1">
        <xdr:nvSpPr>
          <xdr:cNvPr id="3" name="Oval 3"/>
          <xdr:cNvSpPr>
            <a:spLocks/>
          </xdr:cNvSpPr>
        </xdr:nvSpPr>
        <xdr:spPr>
          <a:xfrm>
            <a:off x="6343650" y="1019128"/>
            <a:ext cx="1800000" cy="371531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Salary Table</a:t>
            </a:r>
          </a:p>
        </xdr:txBody>
      </xdr:sp>
      <xdr:sp macro="[0]!Macro2">
        <xdr:nvSpPr>
          <xdr:cNvPr id="4" name="Oval 4"/>
          <xdr:cNvSpPr>
            <a:spLocks/>
          </xdr:cNvSpPr>
        </xdr:nvSpPr>
        <xdr:spPr>
          <a:xfrm>
            <a:off x="6343650" y="1524506"/>
            <a:ext cx="1800000" cy="381134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 Front</a:t>
            </a:r>
          </a:p>
        </xdr:txBody>
      </xdr:sp>
      <xdr:sp macro="[0]!Macro3">
        <xdr:nvSpPr>
          <xdr:cNvPr id="5" name="Oval 5"/>
          <xdr:cNvSpPr>
            <a:spLocks/>
          </xdr:cNvSpPr>
        </xdr:nvSpPr>
        <xdr:spPr>
          <a:xfrm>
            <a:off x="6343650" y="2038887"/>
            <a:ext cx="1800000" cy="371531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Form-16 Back</a:t>
            </a:r>
          </a:p>
        </xdr:txBody>
      </xdr:sp>
      <xdr:sp macro="[0]!Macro4">
        <xdr:nvSpPr>
          <xdr:cNvPr id="6" name="Oval 6"/>
          <xdr:cNvSpPr>
            <a:spLocks/>
          </xdr:cNvSpPr>
        </xdr:nvSpPr>
        <xdr:spPr>
          <a:xfrm>
            <a:off x="6343650" y="2543665"/>
            <a:ext cx="1800000" cy="371531"/>
          </a:xfrm>
          <a:prstGeom prst="ellipse">
            <a:avLst/>
          </a:prstGeom>
          <a:gradFill rotWithShape="1">
            <a:gsLst>
              <a:gs pos="0">
                <a:srgbClr val="2C5D98"/>
              </a:gs>
              <a:gs pos="80000">
                <a:srgbClr val="3C7BC7"/>
              </a:gs>
              <a:gs pos="100000">
                <a:srgbClr val="3A7CCB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Annexure-I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ft\numbers%20to%20word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b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adh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AA102"/>
  <sheetViews>
    <sheetView tabSelected="1" zoomScalePageLayoutView="0" workbookViewId="0" topLeftCell="B1">
      <selection activeCell="AA11" sqref="AA11"/>
    </sheetView>
  </sheetViews>
  <sheetFormatPr defaultColWidth="9.140625" defaultRowHeight="15"/>
  <cols>
    <col min="1" max="1" width="9.140625" style="100" customWidth="1"/>
    <col min="2" max="2" width="11.140625" style="100" customWidth="1"/>
    <col min="3" max="3" width="1.1484375" style="94" customWidth="1"/>
    <col min="4" max="4" width="13.140625" style="96" customWidth="1"/>
    <col min="5" max="5" width="12.8515625" style="96" customWidth="1"/>
    <col min="6" max="6" width="15.140625" style="96" customWidth="1"/>
    <col min="7" max="7" width="9.421875" style="97" customWidth="1"/>
    <col min="8" max="8" width="9.57421875" style="97" bestFit="1" customWidth="1"/>
    <col min="9" max="9" width="10.57421875" style="97" customWidth="1"/>
    <col min="10" max="10" width="4.421875" style="97" hidden="1" customWidth="1"/>
    <col min="11" max="11" width="8.00390625" style="97" hidden="1" customWidth="1"/>
    <col min="12" max="12" width="13.140625" style="97" hidden="1" customWidth="1"/>
    <col min="13" max="13" width="7.57421875" style="97" hidden="1" customWidth="1"/>
    <col min="14" max="14" width="7.140625" style="97" hidden="1" customWidth="1"/>
    <col min="15" max="15" width="7.7109375" style="97" hidden="1" customWidth="1"/>
    <col min="16" max="17" width="6.7109375" style="97" hidden="1" customWidth="1"/>
    <col min="18" max="18" width="11.140625" style="97" hidden="1" customWidth="1"/>
    <col min="19" max="19" width="18.57421875" style="97" hidden="1" customWidth="1"/>
    <col min="20" max="20" width="9.00390625" style="97" hidden="1" customWidth="1"/>
    <col min="21" max="21" width="10.140625" style="97" hidden="1" customWidth="1"/>
    <col min="22" max="22" width="5.57421875" style="97" bestFit="1" customWidth="1"/>
    <col min="23" max="25" width="10.57421875" style="97" hidden="1" customWidth="1"/>
    <col min="26" max="26" width="13.8515625" style="97" hidden="1" customWidth="1"/>
    <col min="27" max="27" width="27.140625" style="97" bestFit="1" customWidth="1"/>
    <col min="28" max="37" width="9.140625" style="97" customWidth="1"/>
    <col min="38" max="16384" width="9.140625" style="90" customWidth="1"/>
  </cols>
  <sheetData>
    <row r="1" spans="1:16" ht="16.5" thickBot="1">
      <c r="A1" s="252" t="s">
        <v>324</v>
      </c>
      <c r="B1" s="253"/>
      <c r="C1" s="93" t="s">
        <v>325</v>
      </c>
      <c r="D1" s="249" t="s">
        <v>423</v>
      </c>
      <c r="E1" s="249"/>
      <c r="F1" s="249"/>
      <c r="K1" s="97">
        <v>1</v>
      </c>
      <c r="L1" s="97" t="s">
        <v>332</v>
      </c>
      <c r="M1" s="97">
        <v>2</v>
      </c>
      <c r="P1" s="97" t="s">
        <v>296</v>
      </c>
    </row>
    <row r="2" spans="1:27" ht="233.25" thickBot="1">
      <c r="A2" s="252" t="s">
        <v>326</v>
      </c>
      <c r="B2" s="253"/>
      <c r="C2" s="93" t="s">
        <v>325</v>
      </c>
      <c r="D2" s="249" t="s">
        <v>357</v>
      </c>
      <c r="E2" s="249"/>
      <c r="F2" s="249"/>
      <c r="K2" s="97">
        <v>2</v>
      </c>
      <c r="L2" s="97" t="s">
        <v>333</v>
      </c>
      <c r="M2" s="97" t="str">
        <f>VLOOKUP(M1,K1:L2,2)</f>
        <v>MEO</v>
      </c>
      <c r="O2" s="97">
        <v>1</v>
      </c>
      <c r="P2" s="97">
        <v>30</v>
      </c>
      <c r="Q2" s="97">
        <v>1</v>
      </c>
      <c r="AA2" s="258" t="s">
        <v>413</v>
      </c>
    </row>
    <row r="3" spans="1:27" ht="24" thickBot="1">
      <c r="A3" s="252" t="s">
        <v>327</v>
      </c>
      <c r="B3" s="253"/>
      <c r="C3" s="93" t="s">
        <v>325</v>
      </c>
      <c r="D3" s="249" t="s">
        <v>419</v>
      </c>
      <c r="E3" s="249"/>
      <c r="F3" s="249"/>
      <c r="L3" s="244" t="s">
        <v>337</v>
      </c>
      <c r="M3" s="244"/>
      <c r="O3" s="97">
        <v>2</v>
      </c>
      <c r="P3" s="97">
        <v>60</v>
      </c>
      <c r="Q3" s="97">
        <f>VLOOKUP(Q2,O2:P4,2)</f>
        <v>30</v>
      </c>
      <c r="R3" s="132" t="str">
        <f>VLOOKUP(R4,J16:L20,3)</f>
        <v>No Change</v>
      </c>
      <c r="AA3" s="258"/>
    </row>
    <row r="4" spans="1:27" ht="24" thickBot="1">
      <c r="A4" s="252" t="s">
        <v>328</v>
      </c>
      <c r="B4" s="253"/>
      <c r="C4" s="93" t="s">
        <v>325</v>
      </c>
      <c r="D4" s="249" t="s">
        <v>420</v>
      </c>
      <c r="E4" s="249"/>
      <c r="F4" s="249"/>
      <c r="K4" s="97">
        <v>1</v>
      </c>
      <c r="L4" s="97" t="s">
        <v>338</v>
      </c>
      <c r="M4" s="97">
        <v>1</v>
      </c>
      <c r="O4" s="97">
        <v>3</v>
      </c>
      <c r="P4" s="97">
        <v>120</v>
      </c>
      <c r="R4" s="97">
        <v>5</v>
      </c>
      <c r="AA4" s="258"/>
    </row>
    <row r="5" spans="1:27" ht="24" thickBot="1">
      <c r="A5" s="252" t="s">
        <v>330</v>
      </c>
      <c r="B5" s="253"/>
      <c r="C5" s="93" t="s">
        <v>325</v>
      </c>
      <c r="D5" s="249"/>
      <c r="E5" s="249"/>
      <c r="F5" s="249"/>
      <c r="K5" s="97">
        <v>2</v>
      </c>
      <c r="L5" s="97" t="s">
        <v>339</v>
      </c>
      <c r="M5" s="97" t="str">
        <f>VLOOKUP(M4,K4:L5,2)</f>
        <v>Rented</v>
      </c>
      <c r="AA5" s="258"/>
    </row>
    <row r="6" spans="1:27" ht="21.75" customHeight="1" thickBot="1">
      <c r="A6" s="248" t="s">
        <v>331</v>
      </c>
      <c r="B6" s="247"/>
      <c r="C6" s="93" t="s">
        <v>325</v>
      </c>
      <c r="D6" s="95"/>
      <c r="E6" s="250"/>
      <c r="F6" s="251"/>
      <c r="L6" s="97" t="s">
        <v>342</v>
      </c>
      <c r="M6" s="98" t="s">
        <v>341</v>
      </c>
      <c r="AA6" s="258"/>
    </row>
    <row r="7" spans="1:27" ht="25.5" customHeight="1" thickBot="1">
      <c r="A7" s="248" t="s">
        <v>334</v>
      </c>
      <c r="B7" s="247"/>
      <c r="C7" s="93" t="s">
        <v>325</v>
      </c>
      <c r="D7" s="249" t="s">
        <v>27</v>
      </c>
      <c r="E7" s="249"/>
      <c r="F7" s="249"/>
      <c r="H7" s="121"/>
      <c r="K7" s="97">
        <v>1</v>
      </c>
      <c r="L7" s="99">
        <v>40940</v>
      </c>
      <c r="M7" s="97">
        <v>10</v>
      </c>
      <c r="AA7" s="258"/>
    </row>
    <row r="8" spans="1:27" ht="24" thickBot="1">
      <c r="A8" s="248" t="s">
        <v>336</v>
      </c>
      <c r="B8" s="247"/>
      <c r="C8" s="93" t="s">
        <v>325</v>
      </c>
      <c r="D8" s="249"/>
      <c r="E8" s="249"/>
      <c r="F8" s="249"/>
      <c r="K8" s="97">
        <v>2</v>
      </c>
      <c r="L8" s="99">
        <v>40969</v>
      </c>
      <c r="M8" s="99">
        <f>VLOOKUP(M7,K7:L20,2)</f>
        <v>41214</v>
      </c>
      <c r="N8" s="99"/>
      <c r="O8" s="99"/>
      <c r="AA8" s="258"/>
    </row>
    <row r="9" spans="1:27" ht="24" thickBot="1">
      <c r="A9" s="248" t="s">
        <v>335</v>
      </c>
      <c r="B9" s="247"/>
      <c r="C9" s="93" t="s">
        <v>325</v>
      </c>
      <c r="D9" s="249" t="s">
        <v>421</v>
      </c>
      <c r="E9" s="249"/>
      <c r="F9" s="249"/>
      <c r="K9" s="97">
        <v>3</v>
      </c>
      <c r="L9" s="99">
        <v>41000</v>
      </c>
      <c r="AA9" s="258"/>
    </row>
    <row r="10" spans="1:12" ht="16.5" thickBot="1">
      <c r="A10" s="248" t="s">
        <v>337</v>
      </c>
      <c r="B10" s="247"/>
      <c r="C10" s="93" t="s">
        <v>325</v>
      </c>
      <c r="D10" s="95"/>
      <c r="E10" s="122">
        <f>IF(M4=1,'Annexure-I'!T16,"")</f>
        <v>3900</v>
      </c>
      <c r="F10" s="116">
        <v>0</v>
      </c>
      <c r="K10" s="97">
        <v>4</v>
      </c>
      <c r="L10" s="99">
        <v>41030</v>
      </c>
    </row>
    <row r="11" spans="1:12" ht="20.25" customHeight="1" thickBot="1">
      <c r="A11" s="248" t="s">
        <v>394</v>
      </c>
      <c r="B11" s="247"/>
      <c r="C11" s="93" t="s">
        <v>325</v>
      </c>
      <c r="D11" s="255"/>
      <c r="E11" s="255"/>
      <c r="F11" s="255"/>
      <c r="K11" s="97">
        <v>5</v>
      </c>
      <c r="L11" s="99">
        <v>41061</v>
      </c>
    </row>
    <row r="12" spans="1:15" ht="21.75" customHeight="1" thickBot="1">
      <c r="A12" s="248" t="s">
        <v>340</v>
      </c>
      <c r="B12" s="247"/>
      <c r="C12" s="93" t="s">
        <v>325</v>
      </c>
      <c r="D12" s="250"/>
      <c r="E12" s="254"/>
      <c r="F12" s="251"/>
      <c r="K12" s="97">
        <v>6</v>
      </c>
      <c r="L12" s="99">
        <v>41091</v>
      </c>
      <c r="N12" s="97" t="s">
        <v>397</v>
      </c>
      <c r="O12" s="97" t="s">
        <v>398</v>
      </c>
    </row>
    <row r="13" spans="1:27" ht="35.25" customHeight="1" thickBot="1">
      <c r="A13" s="245" t="s">
        <v>395</v>
      </c>
      <c r="B13" s="246"/>
      <c r="C13" s="93" t="s">
        <v>325</v>
      </c>
      <c r="D13" s="131"/>
      <c r="E13" s="133">
        <f>S101</f>
        <v>4770</v>
      </c>
      <c r="F13" s="116"/>
      <c r="K13" s="97">
        <v>7</v>
      </c>
      <c r="L13" s="99">
        <v>41122</v>
      </c>
      <c r="N13" s="97">
        <v>5</v>
      </c>
      <c r="O13" s="97">
        <v>10</v>
      </c>
      <c r="R13" s="132" t="str">
        <f>CONCATENATE("Jan-12 to ",TEXT(N14,"mmm-YY"))</f>
        <v>Jan-12 to Jun-12</v>
      </c>
      <c r="AA13" s="211" t="s">
        <v>414</v>
      </c>
    </row>
    <row r="14" spans="1:18" ht="30.75" customHeight="1" thickBot="1">
      <c r="A14" s="245" t="s">
        <v>396</v>
      </c>
      <c r="B14" s="247"/>
      <c r="C14" s="93" t="s">
        <v>325</v>
      </c>
      <c r="D14" s="131"/>
      <c r="E14" s="133">
        <f>U101</f>
        <v>3998</v>
      </c>
      <c r="F14" s="116">
        <v>4090</v>
      </c>
      <c r="K14" s="97">
        <v>8</v>
      </c>
      <c r="L14" s="99">
        <v>41153</v>
      </c>
      <c r="N14" s="132">
        <f>VLOOKUP(N13,K7:L20,2)</f>
        <v>41061</v>
      </c>
      <c r="O14" s="132">
        <f>VLOOKUP(O13,K7:L20,2)</f>
        <v>41214</v>
      </c>
      <c r="R14" s="97" t="str">
        <f>CONCATENATE("Jul-12 to ",TEXT(O14,"mmm-YY"))</f>
        <v>Jul-12 to Nov-12</v>
      </c>
    </row>
    <row r="15" spans="1:19" ht="18.75" customHeight="1" thickBot="1">
      <c r="A15" s="248" t="s">
        <v>10</v>
      </c>
      <c r="B15" s="247"/>
      <c r="C15" s="93" t="s">
        <v>325</v>
      </c>
      <c r="D15" s="250">
        <v>500</v>
      </c>
      <c r="E15" s="254"/>
      <c r="F15" s="251"/>
      <c r="K15" s="97">
        <v>9</v>
      </c>
      <c r="L15" s="99">
        <v>41183</v>
      </c>
      <c r="P15" s="97" t="s">
        <v>344</v>
      </c>
      <c r="R15" s="97" t="s">
        <v>355</v>
      </c>
      <c r="S15" s="97" t="s">
        <v>374</v>
      </c>
    </row>
    <row r="16" spans="1:21" ht="22.5" customHeight="1" thickBot="1">
      <c r="A16" s="248" t="s">
        <v>343</v>
      </c>
      <c r="B16" s="247"/>
      <c r="C16" s="93" t="s">
        <v>325</v>
      </c>
      <c r="D16" s="250"/>
      <c r="E16" s="254"/>
      <c r="F16" s="251"/>
      <c r="J16" s="97">
        <v>1</v>
      </c>
      <c r="K16" s="97">
        <v>10</v>
      </c>
      <c r="L16" s="99">
        <v>41214</v>
      </c>
      <c r="N16" s="97">
        <v>1</v>
      </c>
      <c r="O16" s="97" t="s">
        <v>344</v>
      </c>
      <c r="P16" s="97">
        <v>1</v>
      </c>
      <c r="R16" s="97">
        <v>2</v>
      </c>
      <c r="T16" s="97" t="b">
        <v>0</v>
      </c>
      <c r="U16" s="97" t="b">
        <v>0</v>
      </c>
    </row>
    <row r="17" spans="1:21" ht="27" customHeight="1" thickBot="1">
      <c r="A17" s="248" t="s">
        <v>350</v>
      </c>
      <c r="B17" s="247"/>
      <c r="C17" s="93" t="s">
        <v>325</v>
      </c>
      <c r="D17" s="249">
        <v>1500</v>
      </c>
      <c r="E17" s="249"/>
      <c r="F17" s="249"/>
      <c r="J17" s="97">
        <v>2</v>
      </c>
      <c r="K17" s="97">
        <v>11</v>
      </c>
      <c r="L17" s="99">
        <v>41244</v>
      </c>
      <c r="N17" s="97">
        <v>2</v>
      </c>
      <c r="O17" s="97" t="s">
        <v>14</v>
      </c>
      <c r="T17" s="97" t="s">
        <v>375</v>
      </c>
      <c r="U17" s="97" t="s">
        <v>376</v>
      </c>
    </row>
    <row r="18" spans="1:12" ht="16.5" thickBot="1">
      <c r="A18" s="248" t="s">
        <v>296</v>
      </c>
      <c r="B18" s="247"/>
      <c r="C18" s="93" t="s">
        <v>325</v>
      </c>
      <c r="D18" s="95"/>
      <c r="E18" s="95"/>
      <c r="F18" s="95"/>
      <c r="J18" s="97">
        <v>3</v>
      </c>
      <c r="K18" s="97">
        <v>12</v>
      </c>
      <c r="L18" s="99">
        <v>41275</v>
      </c>
    </row>
    <row r="19" spans="1:12" ht="16.5" thickBot="1">
      <c r="A19" s="248" t="s">
        <v>351</v>
      </c>
      <c r="B19" s="247"/>
      <c r="C19" s="93" t="s">
        <v>325</v>
      </c>
      <c r="D19" s="249"/>
      <c r="E19" s="249"/>
      <c r="F19" s="249"/>
      <c r="J19" s="97">
        <v>4</v>
      </c>
      <c r="K19" s="97">
        <v>13</v>
      </c>
      <c r="L19" s="99">
        <v>41306</v>
      </c>
    </row>
    <row r="20" spans="1:12" ht="16.5" thickBot="1">
      <c r="A20" s="248" t="s">
        <v>79</v>
      </c>
      <c r="B20" s="247"/>
      <c r="C20" s="93" t="s">
        <v>325</v>
      </c>
      <c r="D20" s="249">
        <v>2125</v>
      </c>
      <c r="E20" s="249"/>
      <c r="F20" s="249"/>
      <c r="J20" s="97">
        <v>5</v>
      </c>
      <c r="K20" s="97">
        <v>14</v>
      </c>
      <c r="L20" s="97" t="s">
        <v>388</v>
      </c>
    </row>
    <row r="21" spans="1:15" ht="16.5" thickBot="1">
      <c r="A21" s="248" t="s">
        <v>83</v>
      </c>
      <c r="B21" s="247"/>
      <c r="C21" s="93" t="s">
        <v>325</v>
      </c>
      <c r="D21" s="250"/>
      <c r="E21" s="254"/>
      <c r="F21" s="251"/>
      <c r="G21" s="256" t="s">
        <v>363</v>
      </c>
      <c r="H21" s="257"/>
      <c r="I21" s="257"/>
      <c r="O21" s="91"/>
    </row>
    <row r="22" spans="1:15" ht="16.5" thickBot="1">
      <c r="A22" s="248" t="s">
        <v>87</v>
      </c>
      <c r="B22" s="247"/>
      <c r="C22" s="93" t="s">
        <v>325</v>
      </c>
      <c r="D22" s="249"/>
      <c r="E22" s="249"/>
      <c r="F22" s="249"/>
      <c r="G22" s="123" t="s">
        <v>0</v>
      </c>
      <c r="H22" s="123" t="s">
        <v>364</v>
      </c>
      <c r="I22" s="123"/>
      <c r="K22" s="91">
        <v>1</v>
      </c>
      <c r="L22" s="91">
        <v>0</v>
      </c>
      <c r="M22" s="91">
        <v>0</v>
      </c>
      <c r="N22" s="91">
        <v>0</v>
      </c>
      <c r="O22" s="97">
        <v>0</v>
      </c>
    </row>
    <row r="23" spans="1:15" ht="16.5" thickBot="1">
      <c r="A23" s="248" t="s">
        <v>347</v>
      </c>
      <c r="B23" s="247"/>
      <c r="C23" s="94" t="s">
        <v>325</v>
      </c>
      <c r="D23" s="249"/>
      <c r="E23" s="249"/>
      <c r="F23" s="250"/>
      <c r="G23" s="124">
        <v>41000</v>
      </c>
      <c r="H23" s="95"/>
      <c r="J23" s="97">
        <v>9</v>
      </c>
      <c r="K23" s="91">
        <v>2</v>
      </c>
      <c r="L23" s="91">
        <v>10900</v>
      </c>
      <c r="M23" s="91">
        <v>11200</v>
      </c>
      <c r="N23" s="91">
        <v>11530</v>
      </c>
      <c r="O23" s="91">
        <v>11860</v>
      </c>
    </row>
    <row r="24" spans="1:17" ht="16.5" thickBot="1">
      <c r="A24" s="248" t="s">
        <v>352</v>
      </c>
      <c r="B24" s="247"/>
      <c r="C24" s="93" t="s">
        <v>325</v>
      </c>
      <c r="D24" s="249"/>
      <c r="E24" s="249"/>
      <c r="F24" s="250"/>
      <c r="G24" s="125">
        <v>41030</v>
      </c>
      <c r="H24" s="95"/>
      <c r="K24" s="91">
        <v>3</v>
      </c>
      <c r="L24" s="91">
        <v>11200</v>
      </c>
      <c r="M24" s="91">
        <v>11530</v>
      </c>
      <c r="N24" s="91">
        <v>11860</v>
      </c>
      <c r="O24" s="91">
        <v>12190</v>
      </c>
      <c r="P24" s="129" t="s">
        <v>389</v>
      </c>
      <c r="Q24" s="97">
        <f>VLOOKUP(J23,K22:L81,2)</f>
        <v>13270</v>
      </c>
    </row>
    <row r="25" spans="1:18" ht="16.5" thickBot="1">
      <c r="A25" s="248" t="s">
        <v>353</v>
      </c>
      <c r="B25" s="247"/>
      <c r="C25" s="94" t="s">
        <v>325</v>
      </c>
      <c r="D25" s="249"/>
      <c r="E25" s="249"/>
      <c r="F25" s="250"/>
      <c r="G25" s="126">
        <v>41061</v>
      </c>
      <c r="H25" s="95"/>
      <c r="K25" s="91">
        <v>4</v>
      </c>
      <c r="L25" s="91">
        <v>11530</v>
      </c>
      <c r="M25" s="91">
        <v>11860</v>
      </c>
      <c r="N25" s="91">
        <v>12190</v>
      </c>
      <c r="O25" s="91">
        <v>12550</v>
      </c>
      <c r="P25" s="129" t="s">
        <v>341</v>
      </c>
      <c r="Q25" s="97">
        <f>VLOOKUP(Q24,L22:M81,2)</f>
        <v>13660</v>
      </c>
      <c r="R25" s="99">
        <f>IF(INC1=14,"",M8)</f>
        <v>41214</v>
      </c>
    </row>
    <row r="26" spans="1:18" ht="16.5" thickBot="1">
      <c r="A26" s="248" t="s">
        <v>354</v>
      </c>
      <c r="B26" s="247"/>
      <c r="C26" s="94" t="s">
        <v>325</v>
      </c>
      <c r="D26" s="249"/>
      <c r="E26" s="249"/>
      <c r="F26" s="250"/>
      <c r="G26" s="126">
        <v>41091</v>
      </c>
      <c r="H26" s="95"/>
      <c r="K26" s="91">
        <v>5</v>
      </c>
      <c r="L26" s="91">
        <v>11860</v>
      </c>
      <c r="M26" s="91">
        <v>12190</v>
      </c>
      <c r="N26" s="91">
        <v>12550</v>
      </c>
      <c r="O26" s="91">
        <v>12910</v>
      </c>
      <c r="P26" s="130"/>
      <c r="R26" s="99"/>
    </row>
    <row r="27" spans="1:18" ht="16.5" thickBot="1">
      <c r="A27" s="248" t="s">
        <v>356</v>
      </c>
      <c r="B27" s="247"/>
      <c r="C27" s="94" t="s">
        <v>325</v>
      </c>
      <c r="D27" s="249"/>
      <c r="E27" s="249"/>
      <c r="F27" s="250"/>
      <c r="G27" s="126">
        <v>41122</v>
      </c>
      <c r="H27" s="95"/>
      <c r="K27" s="91">
        <v>6</v>
      </c>
      <c r="L27" s="91">
        <v>12190</v>
      </c>
      <c r="M27" s="91">
        <v>12550</v>
      </c>
      <c r="N27" s="91">
        <v>12910</v>
      </c>
      <c r="O27" s="91">
        <v>13270</v>
      </c>
      <c r="P27" s="129"/>
      <c r="R27" s="99"/>
    </row>
    <row r="28" spans="1:15" ht="28.5" customHeight="1" thickBot="1">
      <c r="A28" s="245" t="s">
        <v>359</v>
      </c>
      <c r="B28" s="246"/>
      <c r="C28" s="94" t="s">
        <v>325</v>
      </c>
      <c r="D28" s="249"/>
      <c r="E28" s="249"/>
      <c r="F28" s="250"/>
      <c r="G28" s="126">
        <v>41153</v>
      </c>
      <c r="H28" s="95"/>
      <c r="K28" s="91">
        <v>7</v>
      </c>
      <c r="L28" s="91">
        <v>12550</v>
      </c>
      <c r="M28" s="91">
        <v>12910</v>
      </c>
      <c r="N28" s="91">
        <v>13270</v>
      </c>
      <c r="O28" s="91">
        <v>13660</v>
      </c>
    </row>
    <row r="29" spans="1:15" ht="28.5" customHeight="1" thickBot="1">
      <c r="A29" s="245" t="s">
        <v>360</v>
      </c>
      <c r="B29" s="246"/>
      <c r="C29" s="94" t="s">
        <v>325</v>
      </c>
      <c r="D29" s="249"/>
      <c r="E29" s="249"/>
      <c r="F29" s="250"/>
      <c r="G29" s="126">
        <v>41183</v>
      </c>
      <c r="H29" s="95"/>
      <c r="K29" s="91">
        <v>8</v>
      </c>
      <c r="L29" s="91">
        <v>12910</v>
      </c>
      <c r="M29" s="91">
        <v>13270</v>
      </c>
      <c r="N29" s="91">
        <v>13660</v>
      </c>
      <c r="O29" s="91">
        <v>14050</v>
      </c>
    </row>
    <row r="30" spans="1:15" ht="29.25" customHeight="1" thickBot="1">
      <c r="A30" s="245" t="s">
        <v>361</v>
      </c>
      <c r="B30" s="246"/>
      <c r="D30" s="249"/>
      <c r="E30" s="249"/>
      <c r="F30" s="250"/>
      <c r="G30" s="126">
        <v>41214</v>
      </c>
      <c r="H30" s="95"/>
      <c r="K30" s="91">
        <v>9</v>
      </c>
      <c r="L30" s="91">
        <v>13270</v>
      </c>
      <c r="M30" s="91">
        <v>13660</v>
      </c>
      <c r="N30" s="91">
        <v>14050</v>
      </c>
      <c r="O30" s="91">
        <v>14440</v>
      </c>
    </row>
    <row r="31" spans="1:15" ht="33" customHeight="1" thickBot="1">
      <c r="A31" s="245" t="s">
        <v>362</v>
      </c>
      <c r="B31" s="246"/>
      <c r="D31" s="249"/>
      <c r="E31" s="249"/>
      <c r="F31" s="250"/>
      <c r="G31" s="126">
        <v>41244</v>
      </c>
      <c r="H31" s="95"/>
      <c r="K31" s="91">
        <v>10</v>
      </c>
      <c r="L31" s="91">
        <v>13660</v>
      </c>
      <c r="M31" s="91">
        <v>14050</v>
      </c>
      <c r="N31" s="91">
        <v>14440</v>
      </c>
      <c r="O31" s="91">
        <v>14860</v>
      </c>
    </row>
    <row r="32" spans="1:15" ht="15.75" customHeight="1">
      <c r="A32" s="261" t="s">
        <v>387</v>
      </c>
      <c r="B32" s="261"/>
      <c r="C32" s="263" t="s">
        <v>325</v>
      </c>
      <c r="D32" s="259" t="s">
        <v>412</v>
      </c>
      <c r="E32" s="259"/>
      <c r="F32" s="260"/>
      <c r="G32" s="126">
        <v>41275</v>
      </c>
      <c r="H32" s="95"/>
      <c r="K32" s="91">
        <v>11</v>
      </c>
      <c r="L32" s="91">
        <v>14050</v>
      </c>
      <c r="M32" s="91">
        <v>14440</v>
      </c>
      <c r="N32" s="91">
        <v>14860</v>
      </c>
      <c r="O32" s="91">
        <v>15280</v>
      </c>
    </row>
    <row r="33" spans="1:15" ht="15.75">
      <c r="A33" s="262"/>
      <c r="B33" s="262"/>
      <c r="C33" s="263"/>
      <c r="D33" s="264" t="s">
        <v>422</v>
      </c>
      <c r="E33" s="264"/>
      <c r="F33" s="264"/>
      <c r="G33" s="127"/>
      <c r="H33" s="95"/>
      <c r="K33" s="91">
        <v>12</v>
      </c>
      <c r="L33" s="91">
        <v>14440</v>
      </c>
      <c r="M33" s="91">
        <v>14860</v>
      </c>
      <c r="N33" s="91">
        <v>15280</v>
      </c>
      <c r="O33" s="91">
        <v>15700</v>
      </c>
    </row>
    <row r="34" spans="1:15" ht="15.75">
      <c r="A34" s="265"/>
      <c r="B34" s="265"/>
      <c r="D34" s="249" t="s">
        <v>258</v>
      </c>
      <c r="E34" s="249"/>
      <c r="F34" s="249"/>
      <c r="G34" s="127"/>
      <c r="H34" s="95"/>
      <c r="K34" s="91">
        <v>13</v>
      </c>
      <c r="L34" s="91">
        <v>14860</v>
      </c>
      <c r="M34" s="91">
        <v>15280</v>
      </c>
      <c r="N34" s="91">
        <v>15700</v>
      </c>
      <c r="O34" s="91">
        <v>16150</v>
      </c>
    </row>
    <row r="35" spans="1:15" ht="15.75">
      <c r="A35" s="265"/>
      <c r="B35" s="265"/>
      <c r="D35" s="249" t="s">
        <v>258</v>
      </c>
      <c r="E35" s="249"/>
      <c r="F35" s="249"/>
      <c r="K35" s="91">
        <v>14</v>
      </c>
      <c r="L35" s="91">
        <v>15280</v>
      </c>
      <c r="M35" s="91">
        <v>15700</v>
      </c>
      <c r="N35" s="91">
        <v>16150</v>
      </c>
      <c r="O35" s="91">
        <v>16600</v>
      </c>
    </row>
    <row r="36" spans="4:15" ht="15.75">
      <c r="D36" s="249" t="s">
        <v>408</v>
      </c>
      <c r="E36" s="249"/>
      <c r="F36" s="249"/>
      <c r="K36" s="91">
        <v>15</v>
      </c>
      <c r="L36" s="91">
        <v>15700</v>
      </c>
      <c r="M36" s="91">
        <v>16150</v>
      </c>
      <c r="N36" s="91">
        <v>16600</v>
      </c>
      <c r="O36" s="91">
        <v>17050</v>
      </c>
    </row>
    <row r="37" spans="4:15" ht="15.75">
      <c r="D37" s="249">
        <v>521121</v>
      </c>
      <c r="E37" s="249"/>
      <c r="F37" s="249"/>
      <c r="K37" s="91">
        <v>16</v>
      </c>
      <c r="L37" s="91">
        <v>16150</v>
      </c>
      <c r="M37" s="91">
        <v>16600</v>
      </c>
      <c r="N37" s="91">
        <v>17050</v>
      </c>
      <c r="O37" s="91">
        <v>17540</v>
      </c>
    </row>
    <row r="38" spans="1:15" ht="18.75">
      <c r="A38" s="134" t="s">
        <v>404</v>
      </c>
      <c r="B38" s="134"/>
      <c r="C38" s="135"/>
      <c r="D38" s="136"/>
      <c r="E38" s="136"/>
      <c r="F38" s="136"/>
      <c r="G38" s="136"/>
      <c r="H38" s="136"/>
      <c r="I38" s="136"/>
      <c r="K38" s="91">
        <v>17</v>
      </c>
      <c r="L38" s="91">
        <v>16600</v>
      </c>
      <c r="M38" s="91">
        <v>17050</v>
      </c>
      <c r="N38" s="91">
        <v>17540</v>
      </c>
      <c r="O38" s="91">
        <v>18030</v>
      </c>
    </row>
    <row r="39" spans="1:15" ht="18.75">
      <c r="A39" s="134" t="s">
        <v>405</v>
      </c>
      <c r="B39" s="134"/>
      <c r="C39" s="135"/>
      <c r="D39" s="136"/>
      <c r="E39" s="136"/>
      <c r="F39" s="136"/>
      <c r="G39" s="136"/>
      <c r="H39" s="136"/>
      <c r="I39" s="136"/>
      <c r="K39" s="91">
        <v>18</v>
      </c>
      <c r="L39" s="91">
        <v>17050</v>
      </c>
      <c r="M39" s="91">
        <v>17540</v>
      </c>
      <c r="N39" s="91">
        <v>18030</v>
      </c>
      <c r="O39" s="91">
        <v>18520</v>
      </c>
    </row>
    <row r="40" spans="1:15" ht="18.75">
      <c r="A40" s="134" t="s">
        <v>406</v>
      </c>
      <c r="B40" s="134"/>
      <c r="C40" s="135"/>
      <c r="D40" s="136"/>
      <c r="E40" s="136"/>
      <c r="F40" s="136"/>
      <c r="G40" s="136"/>
      <c r="H40" s="136"/>
      <c r="I40" s="136"/>
      <c r="K40" s="91">
        <v>19</v>
      </c>
      <c r="L40" s="91">
        <v>17540</v>
      </c>
      <c r="M40" s="91">
        <v>18030</v>
      </c>
      <c r="N40" s="91">
        <v>18520</v>
      </c>
      <c r="O40" s="91">
        <v>19050</v>
      </c>
    </row>
    <row r="41" spans="4:15" ht="18.75">
      <c r="D41" s="114" t="s">
        <v>399</v>
      </c>
      <c r="E41" s="108"/>
      <c r="K41" s="91">
        <v>20</v>
      </c>
      <c r="L41" s="91">
        <v>18030</v>
      </c>
      <c r="M41" s="91">
        <v>18520</v>
      </c>
      <c r="N41" s="91">
        <v>19050</v>
      </c>
      <c r="O41" s="91">
        <v>19580</v>
      </c>
    </row>
    <row r="42" spans="1:15" ht="15.75">
      <c r="A42" s="105" t="s">
        <v>378</v>
      </c>
      <c r="B42" s="106"/>
      <c r="C42" s="107"/>
      <c r="G42" s="128"/>
      <c r="H42" s="128"/>
      <c r="I42" s="128"/>
      <c r="K42" s="91">
        <v>21</v>
      </c>
      <c r="L42" s="91">
        <v>18520</v>
      </c>
      <c r="M42" s="91">
        <v>19050</v>
      </c>
      <c r="N42" s="91">
        <v>19580</v>
      </c>
      <c r="O42" s="91">
        <v>20110</v>
      </c>
    </row>
    <row r="43" spans="1:15" ht="15.75">
      <c r="A43" s="105" t="s">
        <v>379</v>
      </c>
      <c r="B43" s="109"/>
      <c r="C43" s="110"/>
      <c r="G43" s="96"/>
      <c r="H43" s="96"/>
      <c r="I43" s="96"/>
      <c r="K43" s="91">
        <v>22</v>
      </c>
      <c r="L43" s="91">
        <v>19050</v>
      </c>
      <c r="M43" s="91">
        <v>19580</v>
      </c>
      <c r="N43" s="91">
        <v>20110</v>
      </c>
      <c r="O43" s="91">
        <v>20680</v>
      </c>
    </row>
    <row r="44" spans="1:15" ht="15.75">
      <c r="A44" s="105" t="s">
        <v>380</v>
      </c>
      <c r="B44" s="109"/>
      <c r="C44" s="110"/>
      <c r="G44" s="96"/>
      <c r="H44" s="96"/>
      <c r="I44" s="96"/>
      <c r="K44" s="91">
        <v>23</v>
      </c>
      <c r="L44" s="91">
        <v>19580</v>
      </c>
      <c r="M44" s="91">
        <v>20110</v>
      </c>
      <c r="N44" s="91">
        <v>20680</v>
      </c>
      <c r="O44" s="91">
        <v>21250</v>
      </c>
    </row>
    <row r="45" spans="1:15" ht="15.75">
      <c r="A45" s="105" t="s">
        <v>381</v>
      </c>
      <c r="B45" s="109"/>
      <c r="C45" s="110"/>
      <c r="G45" s="96"/>
      <c r="H45" s="96"/>
      <c r="I45" s="96"/>
      <c r="K45" s="91">
        <v>24</v>
      </c>
      <c r="L45" s="91">
        <v>20110</v>
      </c>
      <c r="M45" s="91">
        <v>20680</v>
      </c>
      <c r="N45" s="91">
        <v>21250</v>
      </c>
      <c r="O45" s="91">
        <v>21820</v>
      </c>
    </row>
    <row r="46" spans="1:15" ht="15.75">
      <c r="A46" s="105" t="s">
        <v>382</v>
      </c>
      <c r="B46" s="109"/>
      <c r="C46" s="110"/>
      <c r="G46" s="96"/>
      <c r="H46" s="96"/>
      <c r="I46" s="96"/>
      <c r="K46" s="91">
        <v>25</v>
      </c>
      <c r="L46" s="91">
        <v>20680</v>
      </c>
      <c r="M46" s="91">
        <v>21250</v>
      </c>
      <c r="N46" s="91">
        <v>21820</v>
      </c>
      <c r="O46" s="91">
        <v>22430</v>
      </c>
    </row>
    <row r="47" spans="1:15" ht="15.75">
      <c r="A47" s="105" t="s">
        <v>383</v>
      </c>
      <c r="B47" s="109"/>
      <c r="C47" s="110"/>
      <c r="G47" s="96"/>
      <c r="H47" s="96"/>
      <c r="I47" s="96"/>
      <c r="K47" s="91">
        <v>26</v>
      </c>
      <c r="L47" s="91">
        <v>21250</v>
      </c>
      <c r="M47" s="91">
        <v>21820</v>
      </c>
      <c r="N47" s="91">
        <v>22430</v>
      </c>
      <c r="O47" s="91">
        <v>23040</v>
      </c>
    </row>
    <row r="48" spans="1:15" ht="15.75">
      <c r="A48" s="105" t="s">
        <v>384</v>
      </c>
      <c r="B48" s="109"/>
      <c r="C48" s="110"/>
      <c r="G48" s="96"/>
      <c r="H48" s="96"/>
      <c r="I48" s="96"/>
      <c r="K48" s="91">
        <v>27</v>
      </c>
      <c r="L48" s="91">
        <v>21820</v>
      </c>
      <c r="M48" s="91">
        <v>22430</v>
      </c>
      <c r="N48" s="91">
        <v>23040</v>
      </c>
      <c r="O48" s="91">
        <v>23650</v>
      </c>
    </row>
    <row r="49" spans="1:15" ht="15.75">
      <c r="A49" s="109"/>
      <c r="B49" s="109"/>
      <c r="C49" s="110"/>
      <c r="G49" s="96"/>
      <c r="H49" s="96"/>
      <c r="I49" s="96"/>
      <c r="K49" s="91">
        <v>28</v>
      </c>
      <c r="L49" s="91">
        <v>22430</v>
      </c>
      <c r="M49" s="91">
        <v>23040</v>
      </c>
      <c r="N49" s="91">
        <v>23650</v>
      </c>
      <c r="O49" s="91">
        <v>24300</v>
      </c>
    </row>
    <row r="50" spans="1:15" ht="15.75">
      <c r="A50" s="111"/>
      <c r="B50" s="111" t="s">
        <v>386</v>
      </c>
      <c r="C50" s="112"/>
      <c r="D50" s="113"/>
      <c r="E50" s="113"/>
      <c r="F50" s="113"/>
      <c r="G50" s="96"/>
      <c r="H50" s="96"/>
      <c r="I50" s="96"/>
      <c r="K50" s="91">
        <v>29</v>
      </c>
      <c r="L50" s="91">
        <v>23040</v>
      </c>
      <c r="M50" s="91">
        <v>23650</v>
      </c>
      <c r="N50" s="91">
        <v>24300</v>
      </c>
      <c r="O50" s="91">
        <v>24950</v>
      </c>
    </row>
    <row r="51" spans="1:15" ht="15.75">
      <c r="A51" s="111"/>
      <c r="B51" s="111" t="s">
        <v>385</v>
      </c>
      <c r="C51" s="112"/>
      <c r="D51" s="113"/>
      <c r="E51" s="113"/>
      <c r="F51" s="113"/>
      <c r="G51" s="96"/>
      <c r="H51" s="96"/>
      <c r="I51" s="96"/>
      <c r="K51" s="91">
        <v>30</v>
      </c>
      <c r="L51" s="91">
        <v>23650</v>
      </c>
      <c r="M51" s="91">
        <v>24300</v>
      </c>
      <c r="N51" s="91">
        <v>24950</v>
      </c>
      <c r="O51" s="91">
        <v>25600</v>
      </c>
    </row>
    <row r="52" spans="11:15" ht="15.75">
      <c r="K52" s="91">
        <v>31</v>
      </c>
      <c r="L52" s="91">
        <v>24300</v>
      </c>
      <c r="M52" s="91">
        <v>24950</v>
      </c>
      <c r="N52" s="91">
        <v>25600</v>
      </c>
      <c r="O52" s="91">
        <v>26300</v>
      </c>
    </row>
    <row r="53" spans="11:15" ht="15.75">
      <c r="K53" s="91">
        <v>32</v>
      </c>
      <c r="L53" s="91">
        <v>24950</v>
      </c>
      <c r="M53" s="91">
        <v>25600</v>
      </c>
      <c r="N53" s="91">
        <v>26300</v>
      </c>
      <c r="O53" s="91">
        <v>27000</v>
      </c>
    </row>
    <row r="54" spans="11:15" ht="15.75">
      <c r="K54" s="91">
        <v>33</v>
      </c>
      <c r="L54" s="91">
        <v>25600</v>
      </c>
      <c r="M54" s="91">
        <v>26300</v>
      </c>
      <c r="N54" s="91">
        <v>27000</v>
      </c>
      <c r="O54" s="91">
        <v>27700</v>
      </c>
    </row>
    <row r="55" spans="11:15" ht="15.75">
      <c r="K55" s="91">
        <v>34</v>
      </c>
      <c r="L55" s="91">
        <v>26300</v>
      </c>
      <c r="M55" s="91">
        <v>27000</v>
      </c>
      <c r="N55" s="91">
        <v>27700</v>
      </c>
      <c r="O55" s="91">
        <v>28450</v>
      </c>
    </row>
    <row r="56" spans="11:15" ht="15.75">
      <c r="K56" s="91">
        <v>35</v>
      </c>
      <c r="L56" s="91">
        <v>27000</v>
      </c>
      <c r="M56" s="91">
        <v>27700</v>
      </c>
      <c r="N56" s="91">
        <v>28450</v>
      </c>
      <c r="O56" s="91">
        <v>29200</v>
      </c>
    </row>
    <row r="57" spans="11:15" ht="15.75">
      <c r="K57" s="91">
        <v>36</v>
      </c>
      <c r="L57" s="91">
        <v>27700</v>
      </c>
      <c r="M57" s="91">
        <v>28450</v>
      </c>
      <c r="N57" s="91">
        <v>29200</v>
      </c>
      <c r="O57" s="91">
        <v>29950</v>
      </c>
    </row>
    <row r="58" spans="11:15" ht="15.75">
      <c r="K58" s="91">
        <v>37</v>
      </c>
      <c r="L58" s="91">
        <v>28450</v>
      </c>
      <c r="M58" s="91">
        <v>29200</v>
      </c>
      <c r="N58" s="91">
        <v>29950</v>
      </c>
      <c r="O58" s="91">
        <v>30750</v>
      </c>
    </row>
    <row r="59" spans="11:15" ht="15.75">
      <c r="K59" s="91">
        <v>38</v>
      </c>
      <c r="L59" s="91">
        <v>29200</v>
      </c>
      <c r="M59" s="91">
        <v>29950</v>
      </c>
      <c r="N59" s="91">
        <v>30750</v>
      </c>
      <c r="O59" s="91">
        <v>31550</v>
      </c>
    </row>
    <row r="60" spans="11:15" ht="15.75">
      <c r="K60" s="91">
        <v>39</v>
      </c>
      <c r="L60" s="91">
        <v>29950</v>
      </c>
      <c r="M60" s="91">
        <v>30750</v>
      </c>
      <c r="N60" s="91">
        <v>31550</v>
      </c>
      <c r="O60" s="91">
        <v>32350</v>
      </c>
    </row>
    <row r="61" spans="11:15" ht="15.75">
      <c r="K61" s="91">
        <v>40</v>
      </c>
      <c r="L61" s="91">
        <v>30750</v>
      </c>
      <c r="M61" s="91">
        <v>31550</v>
      </c>
      <c r="N61" s="91">
        <v>32350</v>
      </c>
      <c r="O61" s="91">
        <v>33200</v>
      </c>
    </row>
    <row r="62" spans="11:15" ht="15.75">
      <c r="K62" s="91">
        <v>41</v>
      </c>
      <c r="L62" s="91">
        <v>31550</v>
      </c>
      <c r="M62" s="91">
        <v>32350</v>
      </c>
      <c r="N62" s="91">
        <v>33200</v>
      </c>
      <c r="O62" s="91">
        <v>34050</v>
      </c>
    </row>
    <row r="63" spans="11:15" ht="15.75">
      <c r="K63" s="91">
        <v>42</v>
      </c>
      <c r="L63" s="91">
        <v>32350</v>
      </c>
      <c r="M63" s="91">
        <v>33200</v>
      </c>
      <c r="N63" s="91">
        <v>34050</v>
      </c>
      <c r="O63" s="91">
        <v>34900</v>
      </c>
    </row>
    <row r="64" spans="11:15" ht="15.75">
      <c r="K64" s="91">
        <v>43</v>
      </c>
      <c r="L64" s="91">
        <v>33200</v>
      </c>
      <c r="M64" s="91">
        <v>34050</v>
      </c>
      <c r="N64" s="91">
        <v>34900</v>
      </c>
      <c r="O64" s="91">
        <v>35800</v>
      </c>
    </row>
    <row r="65" spans="11:15" ht="15.75">
      <c r="K65" s="91">
        <v>44</v>
      </c>
      <c r="L65" s="91">
        <v>34050</v>
      </c>
      <c r="M65" s="91">
        <v>34900</v>
      </c>
      <c r="N65" s="91">
        <v>35800</v>
      </c>
      <c r="O65" s="91">
        <v>36700</v>
      </c>
    </row>
    <row r="66" spans="11:15" ht="15.75">
      <c r="K66" s="91">
        <v>45</v>
      </c>
      <c r="L66" s="91">
        <v>34900</v>
      </c>
      <c r="M66" s="91">
        <v>35800</v>
      </c>
      <c r="N66" s="91">
        <v>36700</v>
      </c>
      <c r="O66" s="91">
        <v>37600</v>
      </c>
    </row>
    <row r="67" spans="11:15" ht="15.75">
      <c r="K67" s="91">
        <v>46</v>
      </c>
      <c r="L67" s="91">
        <v>35800</v>
      </c>
      <c r="M67" s="91">
        <v>36700</v>
      </c>
      <c r="N67" s="91">
        <v>37600</v>
      </c>
      <c r="O67" s="91">
        <v>38570</v>
      </c>
    </row>
    <row r="68" spans="11:15" ht="15.75">
      <c r="K68" s="91">
        <v>47</v>
      </c>
      <c r="L68" s="91">
        <v>36700</v>
      </c>
      <c r="M68" s="91">
        <v>37600</v>
      </c>
      <c r="N68" s="91">
        <v>38570</v>
      </c>
      <c r="O68" s="91">
        <v>39540</v>
      </c>
    </row>
    <row r="69" spans="11:15" ht="15.75">
      <c r="K69" s="91">
        <v>48</v>
      </c>
      <c r="L69" s="91">
        <v>37600</v>
      </c>
      <c r="M69" s="91">
        <v>38570</v>
      </c>
      <c r="N69" s="91">
        <v>39540</v>
      </c>
      <c r="O69" s="91">
        <v>40510</v>
      </c>
    </row>
    <row r="70" spans="11:15" ht="15.75">
      <c r="K70" s="91">
        <v>49</v>
      </c>
      <c r="L70" s="91">
        <v>38570</v>
      </c>
      <c r="M70" s="91">
        <v>39540</v>
      </c>
      <c r="N70" s="91">
        <v>40510</v>
      </c>
      <c r="O70" s="91">
        <v>41550</v>
      </c>
    </row>
    <row r="71" spans="11:15" ht="15.75">
      <c r="K71" s="91">
        <v>50</v>
      </c>
      <c r="L71" s="91">
        <v>39540</v>
      </c>
      <c r="M71" s="91">
        <v>40510</v>
      </c>
      <c r="N71" s="91">
        <v>41550</v>
      </c>
      <c r="O71" s="91">
        <v>42590</v>
      </c>
    </row>
    <row r="72" spans="11:15" ht="15.75">
      <c r="K72" s="91">
        <v>51</v>
      </c>
      <c r="L72" s="91">
        <v>40510</v>
      </c>
      <c r="M72" s="91">
        <v>41550</v>
      </c>
      <c r="N72" s="91">
        <v>42590</v>
      </c>
      <c r="O72" s="91">
        <v>43630</v>
      </c>
    </row>
    <row r="73" spans="11:15" ht="15.75">
      <c r="K73" s="91">
        <v>52</v>
      </c>
      <c r="L73" s="91">
        <v>41550</v>
      </c>
      <c r="M73" s="91">
        <v>42590</v>
      </c>
      <c r="N73" s="91">
        <v>43630</v>
      </c>
      <c r="O73" s="91">
        <v>44740</v>
      </c>
    </row>
    <row r="74" spans="11:15" ht="15.75">
      <c r="K74" s="91">
        <v>53</v>
      </c>
      <c r="L74" s="91">
        <v>42590</v>
      </c>
      <c r="M74" s="91">
        <v>43630</v>
      </c>
      <c r="N74" s="91">
        <v>44740</v>
      </c>
      <c r="O74" s="91">
        <v>45850</v>
      </c>
    </row>
    <row r="75" spans="11:15" ht="15.75">
      <c r="K75" s="91">
        <v>54</v>
      </c>
      <c r="L75" s="91">
        <v>43630</v>
      </c>
      <c r="M75" s="91">
        <v>44740</v>
      </c>
      <c r="N75" s="91">
        <v>45850</v>
      </c>
      <c r="O75" s="91">
        <v>46960</v>
      </c>
    </row>
    <row r="76" spans="11:15" ht="15.75">
      <c r="K76" s="91">
        <v>55</v>
      </c>
      <c r="L76" s="91">
        <v>44740</v>
      </c>
      <c r="M76" s="91">
        <v>45850</v>
      </c>
      <c r="N76" s="91">
        <v>46960</v>
      </c>
      <c r="O76" s="91">
        <v>48160</v>
      </c>
    </row>
    <row r="77" spans="11:15" ht="15.75">
      <c r="K77" s="91">
        <v>56</v>
      </c>
      <c r="L77" s="91">
        <v>45850</v>
      </c>
      <c r="M77" s="91">
        <v>46960</v>
      </c>
      <c r="N77" s="91">
        <v>48160</v>
      </c>
      <c r="O77" s="91">
        <v>49360</v>
      </c>
    </row>
    <row r="78" spans="11:15" ht="15.75">
      <c r="K78" s="91">
        <v>57</v>
      </c>
      <c r="L78" s="91">
        <v>46960</v>
      </c>
      <c r="M78" s="91">
        <v>48160</v>
      </c>
      <c r="N78" s="91">
        <v>49360</v>
      </c>
      <c r="O78" s="91">
        <v>50560</v>
      </c>
    </row>
    <row r="79" spans="11:15" ht="15.75">
      <c r="K79" s="91">
        <v>58</v>
      </c>
      <c r="L79" s="91">
        <v>48160</v>
      </c>
      <c r="M79" s="91">
        <v>49360</v>
      </c>
      <c r="N79" s="91">
        <v>50560</v>
      </c>
      <c r="O79" s="91">
        <v>50560</v>
      </c>
    </row>
    <row r="80" spans="11:15" ht="15.75">
      <c r="K80" s="91">
        <v>59</v>
      </c>
      <c r="L80" s="91">
        <v>49360</v>
      </c>
      <c r="M80" s="91">
        <v>50560</v>
      </c>
      <c r="N80" s="91">
        <v>50560</v>
      </c>
      <c r="O80" s="91">
        <v>50560</v>
      </c>
    </row>
    <row r="81" spans="11:15" ht="15.75">
      <c r="K81" s="97">
        <v>60</v>
      </c>
      <c r="L81" s="91">
        <v>50560</v>
      </c>
      <c r="M81" s="91">
        <v>50560</v>
      </c>
      <c r="N81" s="91">
        <v>50560</v>
      </c>
      <c r="O81" s="91">
        <v>50560</v>
      </c>
    </row>
    <row r="86" spans="10:21" ht="15.75">
      <c r="J86" s="97" t="s">
        <v>407</v>
      </c>
      <c r="L86" s="97" t="s">
        <v>393</v>
      </c>
      <c r="M86" s="97" t="s">
        <v>391</v>
      </c>
      <c r="P86" s="97" t="s">
        <v>392</v>
      </c>
      <c r="Q86" s="97" t="s">
        <v>390</v>
      </c>
      <c r="R86" s="97" t="s">
        <v>401</v>
      </c>
      <c r="S86" s="97" t="s">
        <v>400</v>
      </c>
      <c r="T86" s="97" t="s">
        <v>402</v>
      </c>
      <c r="U86" s="97" t="s">
        <v>400</v>
      </c>
    </row>
    <row r="87" spans="11:19" ht="15.75">
      <c r="K87" s="99">
        <v>40909</v>
      </c>
      <c r="L87" s="97">
        <f>Q24</f>
        <v>13270</v>
      </c>
      <c r="M87" s="97">
        <f>IF(agi1=K87,Q25,"")</f>
      </c>
      <c r="P87" s="97">
        <f>IF(O87&lt;&gt;"",O87,IF(N87&lt;&gt;"",N87,IF(M87&lt;&gt;"",M87,L87)))</f>
        <v>13270</v>
      </c>
      <c r="Q87" s="97">
        <f>ROUND(P87*35.952%,0)</f>
        <v>4771</v>
      </c>
      <c r="R87" s="97">
        <f>ROUND(P87*41.944%,0)</f>
        <v>5566</v>
      </c>
      <c r="S87" s="97">
        <f>IF(R87&gt;0,R87-Q87,0)</f>
        <v>795</v>
      </c>
    </row>
    <row r="88" spans="11:19" ht="15.75">
      <c r="K88" s="99">
        <v>40940</v>
      </c>
      <c r="L88" s="97">
        <f>L87</f>
        <v>13270</v>
      </c>
      <c r="M88" s="97">
        <f>IF(agi1=K88,Q25,M87)</f>
      </c>
      <c r="P88" s="97">
        <f aca="true" t="shared" si="0" ref="P88:P100">IF(O88&lt;&gt;"",O88,IF(N88&lt;&gt;"",N88,IF(M88&lt;&gt;"",M88,L88)))</f>
        <v>13270</v>
      </c>
      <c r="Q88" s="97">
        <f>ROUND(P88*35.952%,0)</f>
        <v>4771</v>
      </c>
      <c r="R88" s="97">
        <f>ROUND(P88*41.944%,0)</f>
        <v>5566</v>
      </c>
      <c r="S88" s="97">
        <f aca="true" t="shared" si="1" ref="S88:S100">IF(R88&gt;0,R88-Q88,0)</f>
        <v>795</v>
      </c>
    </row>
    <row r="89" spans="10:19" ht="15.75">
      <c r="J89" s="97">
        <f>IF(phc=1,900,0)</f>
        <v>0</v>
      </c>
      <c r="K89" s="99">
        <v>40969</v>
      </c>
      <c r="L89" s="97">
        <f aca="true" t="shared" si="2" ref="L89:L100">L88</f>
        <v>13270</v>
      </c>
      <c r="M89" s="97">
        <f>IF(agi1=K89,Q25,M88)</f>
      </c>
      <c r="P89" s="97">
        <f t="shared" si="0"/>
        <v>13270</v>
      </c>
      <c r="Q89" s="97">
        <f>ROUND(P89*35.952%,0)</f>
        <v>4771</v>
      </c>
      <c r="R89" s="97">
        <f>ROUND(P89*41.944%,0)</f>
        <v>5566</v>
      </c>
      <c r="S89" s="97">
        <f t="shared" si="1"/>
        <v>795</v>
      </c>
    </row>
    <row r="90" spans="10:19" ht="15.75">
      <c r="J90" s="97">
        <f>IF(phc=1,900,0)</f>
        <v>0</v>
      </c>
      <c r="K90" s="99">
        <v>41000</v>
      </c>
      <c r="L90" s="97">
        <f t="shared" si="2"/>
        <v>13270</v>
      </c>
      <c r="M90" s="97">
        <f>IF(agi1=K90,Q25,M89)</f>
      </c>
      <c r="P90" s="97">
        <f t="shared" si="0"/>
        <v>13270</v>
      </c>
      <c r="Q90" s="97">
        <f>ROUND(P90*35.952%,0)</f>
        <v>4771</v>
      </c>
      <c r="R90" s="97">
        <f>ROUND(P90*41.944%,0)</f>
        <v>5566</v>
      </c>
      <c r="S90" s="97">
        <f t="shared" si="1"/>
        <v>795</v>
      </c>
    </row>
    <row r="91" spans="10:19" ht="15.75">
      <c r="J91" s="97">
        <v>0</v>
      </c>
      <c r="K91" s="99">
        <v>41030</v>
      </c>
      <c r="L91" s="97">
        <f t="shared" si="2"/>
        <v>13270</v>
      </c>
      <c r="M91" s="97">
        <f>IF(agi1=K91,Q25,M90)</f>
      </c>
      <c r="P91" s="97">
        <f t="shared" si="0"/>
        <v>13270</v>
      </c>
      <c r="Q91" s="97">
        <f>IF(N14=K91,ROUND(P91*35.952%,0),IF(N14&lt;K91,ROUND(P91*41.944%,0),ROUND(P91*35.952%,0)))</f>
        <v>4771</v>
      </c>
      <c r="R91" s="97">
        <f>IF(N14&gt;=K91,ROUND(P91*41.944%,0),0)</f>
        <v>5566</v>
      </c>
      <c r="S91" s="97">
        <f t="shared" si="1"/>
        <v>795</v>
      </c>
    </row>
    <row r="92" spans="10:19" ht="15.75">
      <c r="J92" s="97">
        <f aca="true" t="shared" si="3" ref="J92:J100">IF(phc=1,900,0)</f>
        <v>0</v>
      </c>
      <c r="K92" s="99">
        <v>41061</v>
      </c>
      <c r="L92" s="97">
        <f t="shared" si="2"/>
        <v>13270</v>
      </c>
      <c r="M92" s="97">
        <f>IF(agi1=K92,Q25,M91)</f>
      </c>
      <c r="P92" s="97">
        <f t="shared" si="0"/>
        <v>13270</v>
      </c>
      <c r="Q92" s="97">
        <f>IF(N14=K92,ROUND(P92*35.952%,0),IF(N14&lt;K92,ROUND(P92*41.944%,0),ROUND(P92*35.952%,0)))</f>
        <v>4771</v>
      </c>
      <c r="R92" s="97">
        <f>IF(N14&gt;=K92,ROUND(P92*41.944%,0),0)</f>
        <v>5566</v>
      </c>
      <c r="S92" s="97">
        <f t="shared" si="1"/>
        <v>795</v>
      </c>
    </row>
    <row r="93" spans="10:22" ht="15.75">
      <c r="J93" s="97">
        <f t="shared" si="3"/>
        <v>0</v>
      </c>
      <c r="K93" s="99">
        <v>41091</v>
      </c>
      <c r="L93" s="97">
        <f t="shared" si="2"/>
        <v>13270</v>
      </c>
      <c r="M93" s="97">
        <f>IF(agi1=K93,Q25,M92)</f>
      </c>
      <c r="P93" s="97">
        <f t="shared" si="0"/>
        <v>13270</v>
      </c>
      <c r="Q93" s="97">
        <f>IF(N14=K93,ROUND(P93*35.952%,0),IF(N14&lt;K93,ROUND(P93*41.944%,0),ROUND(P93*35.952%,0)))</f>
        <v>5566</v>
      </c>
      <c r="R93" s="97">
        <f>IF(N14&gt;=K93,ROUND(P93*41.944%,0),0)</f>
        <v>0</v>
      </c>
      <c r="S93" s="97">
        <f t="shared" si="1"/>
        <v>0</v>
      </c>
      <c r="T93" s="97">
        <f>ROUND(P93*47.936%,0)</f>
        <v>6361</v>
      </c>
      <c r="U93" s="97">
        <f>IF(T93&gt;0,T93-V93,0)</f>
        <v>795</v>
      </c>
      <c r="V93" s="97">
        <f>ROUND(P93*41.944%,0)</f>
        <v>5566</v>
      </c>
    </row>
    <row r="94" spans="10:22" ht="15.75">
      <c r="J94" s="97">
        <f t="shared" si="3"/>
        <v>0</v>
      </c>
      <c r="K94" s="99">
        <v>41122</v>
      </c>
      <c r="L94" s="97">
        <f t="shared" si="2"/>
        <v>13270</v>
      </c>
      <c r="M94" s="97">
        <f>IF(agi1=K94,Q25,M93)</f>
      </c>
      <c r="P94" s="97">
        <f t="shared" si="0"/>
        <v>13270</v>
      </c>
      <c r="Q94" s="97">
        <f>IF(N14=K94,ROUND(P94*35.952%,0),IF(N14&lt;K94,ROUND(P94*41.944%,0),ROUND(P94*35.952%,0)))</f>
        <v>5566</v>
      </c>
      <c r="R94" s="97">
        <f>IF(N14&gt;=K94,ROUND(P94*41.944%,0),0)</f>
        <v>0</v>
      </c>
      <c r="S94" s="97">
        <f t="shared" si="1"/>
        <v>0</v>
      </c>
      <c r="T94" s="97">
        <f>ROUND(P94*47.936%,0)</f>
        <v>6361</v>
      </c>
      <c r="U94" s="97">
        <f aca="true" t="shared" si="4" ref="U94:U100">IF(T94&gt;0,T94-V94,0)</f>
        <v>795</v>
      </c>
      <c r="V94" s="97">
        <f aca="true" t="shared" si="5" ref="V94:V100">ROUND(P94*41.944%,0)</f>
        <v>5566</v>
      </c>
    </row>
    <row r="95" spans="10:22" ht="15.75">
      <c r="J95" s="97">
        <f t="shared" si="3"/>
        <v>0</v>
      </c>
      <c r="K95" s="99">
        <v>41153</v>
      </c>
      <c r="L95" s="97">
        <f t="shared" si="2"/>
        <v>13270</v>
      </c>
      <c r="M95" s="97">
        <f>IF(agi1=K95,Q25,M94)</f>
      </c>
      <c r="P95" s="97">
        <f t="shared" si="0"/>
        <v>13270</v>
      </c>
      <c r="Q95" s="97">
        <f>IF(N14=K95,ROUND(P95*35.952%,0),IF(N14&lt;K95,ROUND(P95*41.944%,0),ROUND(P95*35.952%,0)))</f>
        <v>5566</v>
      </c>
      <c r="R95" s="97">
        <f>IF(N14&gt;=K95,ROUND(P95*41.944%,0),0)</f>
        <v>0</v>
      </c>
      <c r="S95" s="97">
        <f t="shared" si="1"/>
        <v>0</v>
      </c>
      <c r="T95" s="97">
        <f>ROUND(P95*47.936%,0)</f>
        <v>6361</v>
      </c>
      <c r="U95" s="97">
        <f t="shared" si="4"/>
        <v>795</v>
      </c>
      <c r="V95" s="97">
        <f t="shared" si="5"/>
        <v>5566</v>
      </c>
    </row>
    <row r="96" spans="10:22" ht="15.75">
      <c r="J96" s="97">
        <f t="shared" si="3"/>
        <v>0</v>
      </c>
      <c r="K96" s="99">
        <v>41183</v>
      </c>
      <c r="L96" s="97">
        <f t="shared" si="2"/>
        <v>13270</v>
      </c>
      <c r="M96" s="97">
        <f>IF(agi1=K96,Q25,M95)</f>
      </c>
      <c r="P96" s="97">
        <f t="shared" si="0"/>
        <v>13270</v>
      </c>
      <c r="Q96" s="97">
        <f>IF(N14=K96,ROUND(P96*35.952%,0),IF(N14&lt;K96,ROUND(P96*41.944%,0),ROUND(P96*35.952%,0)))</f>
        <v>5566</v>
      </c>
      <c r="R96" s="97">
        <f>IF(N14&gt;=K96,ROUND(P96*41.944%,0),0)</f>
        <v>0</v>
      </c>
      <c r="S96" s="97">
        <f t="shared" si="1"/>
        <v>0</v>
      </c>
      <c r="T96" s="97">
        <f>ROUND(P96*47.936%,0)</f>
        <v>6361</v>
      </c>
      <c r="U96" s="97">
        <f t="shared" si="4"/>
        <v>795</v>
      </c>
      <c r="V96" s="97">
        <f t="shared" si="5"/>
        <v>5566</v>
      </c>
    </row>
    <row r="97" spans="10:22" ht="15.75">
      <c r="J97" s="97">
        <f t="shared" si="3"/>
        <v>0</v>
      </c>
      <c r="K97" s="99">
        <v>41214</v>
      </c>
      <c r="L97" s="97">
        <f t="shared" si="2"/>
        <v>13270</v>
      </c>
      <c r="M97" s="97">
        <f>IF(agi1=K97,Q25,M96)</f>
        <v>13660</v>
      </c>
      <c r="P97" s="97">
        <f t="shared" si="0"/>
        <v>13660</v>
      </c>
      <c r="Q97" s="97">
        <f>IF(O14=K97,ROUND(P97*41.944%,0),IF(O14&lt;K97,ROUND(P97*47.936%,0),ROUND(P97*41.944%,0)))</f>
        <v>5730</v>
      </c>
      <c r="R97" s="97">
        <f>IF(N14&gt;=K97,ROUND(P97*41.944%,0),0)</f>
        <v>0</v>
      </c>
      <c r="S97" s="97">
        <f t="shared" si="1"/>
        <v>0</v>
      </c>
      <c r="T97" s="97">
        <f>IF(O14&gt;=K97,ROUND(P97*47.936%,0),0)</f>
        <v>6548</v>
      </c>
      <c r="U97" s="97">
        <f t="shared" si="4"/>
        <v>818</v>
      </c>
      <c r="V97" s="97">
        <f t="shared" si="5"/>
        <v>5730</v>
      </c>
    </row>
    <row r="98" spans="10:22" ht="15.75">
      <c r="J98" s="97">
        <f t="shared" si="3"/>
        <v>0</v>
      </c>
      <c r="K98" s="99">
        <v>41244</v>
      </c>
      <c r="L98" s="97">
        <f t="shared" si="2"/>
        <v>13270</v>
      </c>
      <c r="M98" s="97">
        <f>IF(agi1=K98,Q25,M97)</f>
        <v>13660</v>
      </c>
      <c r="P98" s="97">
        <f t="shared" si="0"/>
        <v>13660</v>
      </c>
      <c r="Q98" s="97">
        <f>IF(O14=K98,ROUND(P98*41.944%,0),IF(O14&lt;K98,ROUND(P98*47.936%,0),ROUND(P98*41.944%,0)))</f>
        <v>6548</v>
      </c>
      <c r="R98" s="97">
        <f>IF(N14&gt;=K98,ROUND(P98*41.944%,0),0)</f>
        <v>0</v>
      </c>
      <c r="S98" s="97">
        <f t="shared" si="1"/>
        <v>0</v>
      </c>
      <c r="T98" s="97">
        <f>IF(O14&gt;=K98,ROUND(P98*47.936%,0),0)</f>
        <v>0</v>
      </c>
      <c r="U98" s="97">
        <f t="shared" si="4"/>
        <v>0</v>
      </c>
      <c r="V98" s="97">
        <f t="shared" si="5"/>
        <v>5730</v>
      </c>
    </row>
    <row r="99" spans="10:22" ht="15.75">
      <c r="J99" s="97">
        <f t="shared" si="3"/>
        <v>0</v>
      </c>
      <c r="K99" s="99">
        <v>41275</v>
      </c>
      <c r="L99" s="97">
        <f t="shared" si="2"/>
        <v>13270</v>
      </c>
      <c r="M99" s="97">
        <f>IF(agi1=K99,Q25,M98)</f>
        <v>13660</v>
      </c>
      <c r="P99" s="97">
        <f t="shared" si="0"/>
        <v>13660</v>
      </c>
      <c r="Q99" s="97">
        <f>IF(O14=K99,ROUND(P99*41.944%,0),IF(O14&lt;K99,ROUND(P99*47.936%,0),ROUND(P99*41.944%,0)))</f>
        <v>6548</v>
      </c>
      <c r="R99" s="97">
        <f>IF(N14&gt;=K99,ROUND(P99*41.944%,0),0)</f>
        <v>0</v>
      </c>
      <c r="S99" s="97">
        <f t="shared" si="1"/>
        <v>0</v>
      </c>
      <c r="T99" s="97">
        <f>IF(O14&gt;=K99,ROUND(P99*47.936%,0),0)</f>
        <v>0</v>
      </c>
      <c r="U99" s="97">
        <f t="shared" si="4"/>
        <v>0</v>
      </c>
      <c r="V99" s="97">
        <f t="shared" si="5"/>
        <v>5730</v>
      </c>
    </row>
    <row r="100" spans="10:22" ht="15.75">
      <c r="J100" s="97">
        <f t="shared" si="3"/>
        <v>0</v>
      </c>
      <c r="K100" s="99">
        <v>41306</v>
      </c>
      <c r="L100" s="97">
        <f t="shared" si="2"/>
        <v>13270</v>
      </c>
      <c r="M100" s="97">
        <f>IF(agi1=K100,Q25,M99)</f>
        <v>13660</v>
      </c>
      <c r="P100" s="97">
        <f t="shared" si="0"/>
        <v>13660</v>
      </c>
      <c r="Q100" s="97">
        <f>IF(O14=K100,ROUND(P100*41.944%,0),IF(O14&lt;K100,ROUND(P100*47.936%,0),ROUND(P100*41.944%,0)))</f>
        <v>6548</v>
      </c>
      <c r="R100" s="97">
        <f>IF(N14&gt;=K100,ROUND(P100*41.944%,0),0)</f>
        <v>0</v>
      </c>
      <c r="S100" s="97">
        <f t="shared" si="1"/>
        <v>0</v>
      </c>
      <c r="T100" s="97">
        <f>IF(O14&gt;=K100,ROUND(P100*47.936%,0),0)</f>
        <v>0</v>
      </c>
      <c r="U100" s="97">
        <f t="shared" si="4"/>
        <v>0</v>
      </c>
      <c r="V100" s="97">
        <f t="shared" si="5"/>
        <v>5730</v>
      </c>
    </row>
    <row r="101" spans="19:21" ht="15.75">
      <c r="S101" s="97">
        <f>SUM(S87:S100)</f>
        <v>4770</v>
      </c>
      <c r="U101" s="97">
        <f>SUM(U87:U100)</f>
        <v>3998</v>
      </c>
    </row>
    <row r="102" spans="18:21" ht="15.75">
      <c r="R102" s="97" t="s">
        <v>403</v>
      </c>
      <c r="S102" s="97">
        <f>S87+S88+S89+S90</f>
        <v>3180</v>
      </c>
      <c r="U102" s="97">
        <f>U93+U94+U95+U96</f>
        <v>3180</v>
      </c>
    </row>
  </sheetData>
  <sheetProtection password="C71F" sheet="1"/>
  <mergeCells count="71">
    <mergeCell ref="AA2:AA9"/>
    <mergeCell ref="D37:F37"/>
    <mergeCell ref="D32:F32"/>
    <mergeCell ref="A32:B33"/>
    <mergeCell ref="C32:C33"/>
    <mergeCell ref="D33:F33"/>
    <mergeCell ref="A34:B34"/>
    <mergeCell ref="A35:B35"/>
    <mergeCell ref="D25:F25"/>
    <mergeCell ref="D26:F26"/>
    <mergeCell ref="D36:F36"/>
    <mergeCell ref="G21:I21"/>
    <mergeCell ref="D30:F30"/>
    <mergeCell ref="A26:B26"/>
    <mergeCell ref="A23:B23"/>
    <mergeCell ref="D23:F23"/>
    <mergeCell ref="A27:B27"/>
    <mergeCell ref="A28:B28"/>
    <mergeCell ref="D34:F34"/>
    <mergeCell ref="D35:F35"/>
    <mergeCell ref="A30:B30"/>
    <mergeCell ref="A31:B31"/>
    <mergeCell ref="A25:B25"/>
    <mergeCell ref="D31:F31"/>
    <mergeCell ref="A29:B29"/>
    <mergeCell ref="D29:F29"/>
    <mergeCell ref="D28:F28"/>
    <mergeCell ref="A19:B19"/>
    <mergeCell ref="D24:F24"/>
    <mergeCell ref="A22:B22"/>
    <mergeCell ref="A24:B24"/>
    <mergeCell ref="A20:B20"/>
    <mergeCell ref="D27:F27"/>
    <mergeCell ref="D22:F22"/>
    <mergeCell ref="A18:B18"/>
    <mergeCell ref="D19:F19"/>
    <mergeCell ref="D20:F20"/>
    <mergeCell ref="A21:B21"/>
    <mergeCell ref="D21:F21"/>
    <mergeCell ref="A10:B10"/>
    <mergeCell ref="D11:F11"/>
    <mergeCell ref="D17:F17"/>
    <mergeCell ref="A11:B11"/>
    <mergeCell ref="A12:B12"/>
    <mergeCell ref="D12:F12"/>
    <mergeCell ref="D16:F16"/>
    <mergeCell ref="D15:F15"/>
    <mergeCell ref="A17:B17"/>
    <mergeCell ref="D1:F1"/>
    <mergeCell ref="D2:F2"/>
    <mergeCell ref="D3:F3"/>
    <mergeCell ref="D4:F4"/>
    <mergeCell ref="D5:F5"/>
    <mergeCell ref="D7:F7"/>
    <mergeCell ref="E6:F6"/>
    <mergeCell ref="A1:B1"/>
    <mergeCell ref="A2:B2"/>
    <mergeCell ref="A3:B3"/>
    <mergeCell ref="A4:B4"/>
    <mergeCell ref="A5:B5"/>
    <mergeCell ref="A6:B6"/>
    <mergeCell ref="L3:M3"/>
    <mergeCell ref="A13:B13"/>
    <mergeCell ref="A14:B14"/>
    <mergeCell ref="A15:B15"/>
    <mergeCell ref="A16:B16"/>
    <mergeCell ref="A7:B7"/>
    <mergeCell ref="A8:B8"/>
    <mergeCell ref="A9:B9"/>
    <mergeCell ref="D8:F8"/>
    <mergeCell ref="D9:F9"/>
  </mergeCells>
  <hyperlinks>
    <hyperlink ref="AA13" r:id="rId1" display="banadh@gmail.com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A50"/>
  <sheetViews>
    <sheetView zoomScalePageLayoutView="0" workbookViewId="0" topLeftCell="A13">
      <selection activeCell="F18" sqref="F18"/>
    </sheetView>
  </sheetViews>
  <sheetFormatPr defaultColWidth="9.140625" defaultRowHeight="15"/>
  <cols>
    <col min="1" max="1" width="10.00390625" style="4" customWidth="1"/>
    <col min="2" max="2" width="8.421875" style="4" customWidth="1"/>
    <col min="3" max="3" width="4.57421875" style="4" customWidth="1"/>
    <col min="4" max="4" width="7.7109375" style="4" customWidth="1"/>
    <col min="5" max="5" width="7.140625" style="4" customWidth="1"/>
    <col min="6" max="6" width="7.421875" style="4" customWidth="1"/>
    <col min="7" max="7" width="6.00390625" style="4" customWidth="1"/>
    <col min="8" max="8" width="5.28125" style="4" customWidth="1"/>
    <col min="9" max="9" width="5.7109375" style="4" customWidth="1"/>
    <col min="10" max="10" width="8.28125" style="4" customWidth="1"/>
    <col min="11" max="11" width="7.00390625" style="4" customWidth="1"/>
    <col min="12" max="12" width="6.00390625" style="4" customWidth="1"/>
    <col min="13" max="13" width="4.7109375" style="4" customWidth="1"/>
    <col min="14" max="14" width="5.8515625" style="4" customWidth="1"/>
    <col min="15" max="15" width="5.7109375" style="4" customWidth="1"/>
    <col min="16" max="16" width="6.00390625" style="4" bestFit="1" customWidth="1"/>
    <col min="17" max="17" width="6.28125" style="4" customWidth="1"/>
    <col min="18" max="18" width="6.7109375" style="4" customWidth="1"/>
    <col min="19" max="19" width="6.57421875" style="4" customWidth="1"/>
    <col min="20" max="20" width="6.7109375" style="4" customWidth="1"/>
    <col min="21" max="21" width="5.57421875" style="4" customWidth="1"/>
    <col min="22" max="22" width="8.421875" style="4" customWidth="1"/>
    <col min="23" max="23" width="11.140625" style="4" customWidth="1"/>
    <col min="24" max="16384" width="9.140625" style="4" customWidth="1"/>
  </cols>
  <sheetData>
    <row r="1" spans="1:21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">
      <c r="A2" s="212" t="str">
        <f>F41</f>
        <v>Statement Showing Month Wise Income particulars of Sri/Smt./Kum. S V P K Srinivas, SGT, MPUPS,Bobbarlanka, Mopidevi Mandal For the Year 2012-13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13"/>
    </row>
    <row r="3" spans="1:21" ht="15">
      <c r="A3" s="5"/>
      <c r="U3" s="6"/>
    </row>
    <row r="4" spans="1:23" s="8" customFormat="1" ht="47.25" customHeight="1">
      <c r="A4" s="218" t="s">
        <v>0</v>
      </c>
      <c r="B4" s="219" t="s">
        <v>1</v>
      </c>
      <c r="C4" s="220" t="s">
        <v>352</v>
      </c>
      <c r="D4" s="219" t="s">
        <v>2</v>
      </c>
      <c r="E4" s="219" t="s">
        <v>3</v>
      </c>
      <c r="F4" s="219" t="s">
        <v>4</v>
      </c>
      <c r="G4" s="219" t="s">
        <v>5</v>
      </c>
      <c r="H4" s="219" t="s">
        <v>6</v>
      </c>
      <c r="I4" s="221" t="s">
        <v>7</v>
      </c>
      <c r="J4" s="220" t="s">
        <v>8</v>
      </c>
      <c r="K4" s="220" t="s">
        <v>9</v>
      </c>
      <c r="L4" s="219" t="s">
        <v>10</v>
      </c>
      <c r="M4" s="219" t="s">
        <v>11</v>
      </c>
      <c r="N4" s="219" t="s">
        <v>12</v>
      </c>
      <c r="O4" s="220" t="s">
        <v>13</v>
      </c>
      <c r="P4" s="220" t="s">
        <v>14</v>
      </c>
      <c r="Q4" s="220" t="s">
        <v>15</v>
      </c>
      <c r="R4" s="220" t="s">
        <v>83</v>
      </c>
      <c r="S4" s="219" t="s">
        <v>87</v>
      </c>
      <c r="T4" s="222" t="s">
        <v>349</v>
      </c>
      <c r="U4" s="223" t="s">
        <v>347</v>
      </c>
      <c r="V4" s="7"/>
      <c r="W4" s="7"/>
    </row>
    <row r="5" spans="1:27" ht="15">
      <c r="A5" s="224">
        <v>40969</v>
      </c>
      <c r="B5" s="225">
        <f>'Data Entry Sheet'!P89</f>
        <v>13270</v>
      </c>
      <c r="C5" s="225">
        <f>'Data Entry Sheet'!D24</f>
        <v>0</v>
      </c>
      <c r="D5" s="225">
        <f>'Data Entry Sheet'!Q89</f>
        <v>4771</v>
      </c>
      <c r="E5" s="225">
        <f>ROUND(B5*12%,0)</f>
        <v>1592</v>
      </c>
      <c r="F5" s="225">
        <f>'Data Entry Sheet'!D25</f>
        <v>0</v>
      </c>
      <c r="G5" s="225">
        <f>'Data Entry Sheet'!J89</f>
        <v>0</v>
      </c>
      <c r="H5" s="225">
        <v>0</v>
      </c>
      <c r="I5" s="225">
        <f>'Data Entry Sheet'!D27</f>
        <v>0</v>
      </c>
      <c r="J5" s="226">
        <f>SUM(B5:I5)</f>
        <v>19633</v>
      </c>
      <c r="K5" s="225">
        <f>IF('Data Entry Sheet'!P16=2,0,'Data Entry Sheet'!D17)</f>
        <v>1500</v>
      </c>
      <c r="L5" s="225">
        <f>'Data Entry Sheet'!D15</f>
        <v>500</v>
      </c>
      <c r="M5" s="225">
        <f>'Data Entry Sheet'!Q3</f>
        <v>30</v>
      </c>
      <c r="N5" s="227">
        <f>IF('Data Entry Sheet'!R16=1,0,IF(J5&lt;=5000,0,IF(AND(J5&gt;5000,J5&lt;=6000),60,IF(AND(J5&gt;6000,J5&lt;=10000),80,IF(AND(J5&gt;10000,J5&lt;=15000),100,IF(AND(J5&gt;15000,J5&lt;=20000),150,200))))))</f>
        <v>150</v>
      </c>
      <c r="O5" s="225">
        <v>20</v>
      </c>
      <c r="P5" s="225">
        <f>IF('Data Entry Sheet'!P16=2,ROUND(('Salary Table'!B5+'Salary Table'!D5)*10%,0),0)</f>
        <v>0</v>
      </c>
      <c r="Q5" s="225">
        <f>'Data Entry Sheet'!D20</f>
        <v>2125</v>
      </c>
      <c r="R5" s="227">
        <f>'Data Entry Sheet'!D21</f>
        <v>0</v>
      </c>
      <c r="S5" s="227">
        <f>'Data Entry Sheet'!D22</f>
        <v>0</v>
      </c>
      <c r="T5" s="228"/>
      <c r="U5" s="229">
        <f>'Data Entry Sheet'!D23</f>
        <v>0</v>
      </c>
      <c r="V5" s="9"/>
      <c r="W5" s="9"/>
      <c r="X5" s="267"/>
      <c r="Y5" s="267"/>
      <c r="Z5" s="267"/>
      <c r="AA5" s="267"/>
    </row>
    <row r="6" spans="1:27" ht="15">
      <c r="A6" s="224">
        <v>41000</v>
      </c>
      <c r="B6" s="225">
        <f>'Data Entry Sheet'!P90</f>
        <v>13270</v>
      </c>
      <c r="C6" s="225">
        <f>C5</f>
        <v>0</v>
      </c>
      <c r="D6" s="225">
        <f>'Data Entry Sheet'!Q90</f>
        <v>4771</v>
      </c>
      <c r="E6" s="225">
        <f aca="true" t="shared" si="0" ref="E6:E16">ROUND(B6*12%,0)</f>
        <v>1592</v>
      </c>
      <c r="F6" s="225">
        <f>F5</f>
        <v>0</v>
      </c>
      <c r="G6" s="225">
        <f>'Data Entry Sheet'!J90</f>
        <v>0</v>
      </c>
      <c r="H6" s="225">
        <f>H5</f>
        <v>0</v>
      </c>
      <c r="I6" s="225">
        <f>I5</f>
        <v>0</v>
      </c>
      <c r="J6" s="226">
        <f aca="true" t="shared" si="1" ref="J6:J22">SUM(B6:I6)</f>
        <v>19633</v>
      </c>
      <c r="K6" s="225">
        <f>K5</f>
        <v>1500</v>
      </c>
      <c r="L6" s="225">
        <f>L5</f>
        <v>500</v>
      </c>
      <c r="M6" s="225">
        <f>M5</f>
        <v>30</v>
      </c>
      <c r="N6" s="227">
        <f>IF('Data Entry Sheet'!R16=1,0,IF(J6&lt;=5000,0,IF(AND(J6&gt;5000,J6&lt;=6000),60,IF(AND(J6&gt;6000,J6&lt;=10000),80,IF(AND(J6&gt;10000,J6&lt;=15000),100,IF(AND(J6&gt;15000,J6&lt;=20000),150,200))))))</f>
        <v>150</v>
      </c>
      <c r="O6" s="225"/>
      <c r="P6" s="225">
        <f>IF('Data Entry Sheet'!P16=2,ROUND(('Salary Table'!B6+'Salary Table'!D6)*10%,0),0)</f>
        <v>0</v>
      </c>
      <c r="Q6" s="225">
        <f>Q5</f>
        <v>2125</v>
      </c>
      <c r="R6" s="227">
        <f>R5</f>
        <v>0</v>
      </c>
      <c r="S6" s="227">
        <f>S5</f>
        <v>0</v>
      </c>
      <c r="T6" s="228"/>
      <c r="U6" s="229"/>
      <c r="X6" s="268"/>
      <c r="Y6" s="268"/>
      <c r="Z6" s="268"/>
      <c r="AA6" s="268"/>
    </row>
    <row r="7" spans="1:26" ht="15">
      <c r="A7" s="224">
        <v>41030</v>
      </c>
      <c r="B7" s="225">
        <f>'Data Entry Sheet'!P91</f>
        <v>13270</v>
      </c>
      <c r="C7" s="225">
        <f aca="true" t="shared" si="2" ref="C7:C16">C6</f>
        <v>0</v>
      </c>
      <c r="D7" s="225">
        <f>'Data Entry Sheet'!Q91</f>
        <v>4771</v>
      </c>
      <c r="E7" s="225">
        <f t="shared" si="0"/>
        <v>1592</v>
      </c>
      <c r="F7" s="225">
        <f aca="true" t="shared" si="3" ref="F7:F16">F6</f>
        <v>0</v>
      </c>
      <c r="G7" s="225">
        <f>'Data Entry Sheet'!J91</f>
        <v>0</v>
      </c>
      <c r="H7" s="225">
        <f aca="true" t="shared" si="4" ref="H7:H16">H6</f>
        <v>0</v>
      </c>
      <c r="I7" s="225">
        <f aca="true" t="shared" si="5" ref="I7:I16">I6</f>
        <v>0</v>
      </c>
      <c r="J7" s="226">
        <f t="shared" si="1"/>
        <v>19633</v>
      </c>
      <c r="K7" s="225">
        <f aca="true" t="shared" si="6" ref="K7:K16">K6</f>
        <v>1500</v>
      </c>
      <c r="L7" s="225">
        <f aca="true" t="shared" si="7" ref="L7:L16">L6</f>
        <v>500</v>
      </c>
      <c r="M7" s="225">
        <f aca="true" t="shared" si="8" ref="M7:M16">M6</f>
        <v>30</v>
      </c>
      <c r="N7" s="227">
        <f>IF('Data Entry Sheet'!R16=1,0,IF(J7&lt;=5000,0,IF(AND(J7&gt;5000,J7&lt;=6000),60,IF(AND(J7&gt;6000,J7&lt;=10000),80,IF(AND(J7&gt;10000,J7&lt;=15000),100,IF(AND(J7&gt;15000,J7&lt;=20000),150,200))))))</f>
        <v>150</v>
      </c>
      <c r="O7" s="225"/>
      <c r="P7" s="225">
        <f>IF('Data Entry Sheet'!P16=2,ROUND(('Salary Table'!B7+'Salary Table'!D7)*10%,0),0)</f>
        <v>0</v>
      </c>
      <c r="Q7" s="225">
        <f aca="true" t="shared" si="9" ref="Q7:Q16">Q6</f>
        <v>2125</v>
      </c>
      <c r="R7" s="227">
        <f aca="true" t="shared" si="10" ref="R7:R16">R6</f>
        <v>0</v>
      </c>
      <c r="S7" s="227">
        <f aca="true" t="shared" si="11" ref="S7:S16">S6</f>
        <v>0</v>
      </c>
      <c r="T7" s="228"/>
      <c r="U7" s="229"/>
      <c r="Y7" s="268"/>
      <c r="Z7" s="268"/>
    </row>
    <row r="8" spans="1:27" ht="15">
      <c r="A8" s="224">
        <v>41061</v>
      </c>
      <c r="B8" s="225">
        <f>'Data Entry Sheet'!P92</f>
        <v>13270</v>
      </c>
      <c r="C8" s="225">
        <f t="shared" si="2"/>
        <v>0</v>
      </c>
      <c r="D8" s="225">
        <f>'Data Entry Sheet'!Q92</f>
        <v>4771</v>
      </c>
      <c r="E8" s="225">
        <f t="shared" si="0"/>
        <v>1592</v>
      </c>
      <c r="F8" s="225">
        <f t="shared" si="3"/>
        <v>0</v>
      </c>
      <c r="G8" s="225">
        <f>'Data Entry Sheet'!J92</f>
        <v>0</v>
      </c>
      <c r="H8" s="225">
        <f t="shared" si="4"/>
        <v>0</v>
      </c>
      <c r="I8" s="225">
        <f t="shared" si="5"/>
        <v>0</v>
      </c>
      <c r="J8" s="226">
        <f t="shared" si="1"/>
        <v>19633</v>
      </c>
      <c r="K8" s="225">
        <f t="shared" si="6"/>
        <v>1500</v>
      </c>
      <c r="L8" s="225">
        <f t="shared" si="7"/>
        <v>500</v>
      </c>
      <c r="M8" s="225">
        <f t="shared" si="8"/>
        <v>30</v>
      </c>
      <c r="N8" s="227">
        <f>IF('Data Entry Sheet'!R16=1,0,IF(J8&lt;=5000,0,IF(AND(J8&gt;5000,J8&lt;=6000),60,IF(AND(J8&gt;6000,J8&lt;=10000),80,IF(AND(J8&gt;10000,J8&lt;=15000),100,IF(AND(J8&gt;15000,J8&lt;=20000),150,200))))))</f>
        <v>150</v>
      </c>
      <c r="O8" s="225"/>
      <c r="P8" s="225">
        <f>IF('Data Entry Sheet'!P16=2,ROUND(('Salary Table'!B8+'Salary Table'!D8)*10%,0),0)</f>
        <v>0</v>
      </c>
      <c r="Q8" s="225">
        <f t="shared" si="9"/>
        <v>2125</v>
      </c>
      <c r="R8" s="227">
        <f t="shared" si="10"/>
        <v>0</v>
      </c>
      <c r="S8" s="227">
        <f t="shared" si="11"/>
        <v>0</v>
      </c>
      <c r="T8" s="228"/>
      <c r="U8" s="229"/>
      <c r="X8" s="268"/>
      <c r="Y8" s="268"/>
      <c r="Z8" s="268"/>
      <c r="AA8" s="268"/>
    </row>
    <row r="9" spans="1:27" ht="15">
      <c r="A9" s="224">
        <v>41091</v>
      </c>
      <c r="B9" s="225">
        <f>'Data Entry Sheet'!P93</f>
        <v>13270</v>
      </c>
      <c r="C9" s="225">
        <f t="shared" si="2"/>
        <v>0</v>
      </c>
      <c r="D9" s="225">
        <f>'Data Entry Sheet'!Q93</f>
        <v>5566</v>
      </c>
      <c r="E9" s="225">
        <f t="shared" si="0"/>
        <v>1592</v>
      </c>
      <c r="F9" s="225">
        <f t="shared" si="3"/>
        <v>0</v>
      </c>
      <c r="G9" s="225">
        <f>'Data Entry Sheet'!J93</f>
        <v>0</v>
      </c>
      <c r="H9" s="225">
        <f t="shared" si="4"/>
        <v>0</v>
      </c>
      <c r="I9" s="225">
        <f t="shared" si="5"/>
        <v>0</v>
      </c>
      <c r="J9" s="226">
        <f t="shared" si="1"/>
        <v>20428</v>
      </c>
      <c r="K9" s="225">
        <f t="shared" si="6"/>
        <v>1500</v>
      </c>
      <c r="L9" s="225">
        <f t="shared" si="7"/>
        <v>500</v>
      </c>
      <c r="M9" s="225">
        <f t="shared" si="8"/>
        <v>30</v>
      </c>
      <c r="N9" s="227">
        <f>IF('Data Entry Sheet'!R16=1,0,IF(J9&lt;=5000,0,IF(AND(J9&gt;5000,J9&lt;=6000),60,IF(AND(J9&gt;6000,J9&lt;=10000),80,IF(AND(J9&gt;10000,J9&lt;=15000),100,IF(AND(J9&gt;15000,J9&lt;=20000),150,200))))))</f>
        <v>200</v>
      </c>
      <c r="O9" s="225"/>
      <c r="P9" s="225">
        <f>IF('Data Entry Sheet'!P16=2,ROUND(('Salary Table'!B9+'Salary Table'!D9)*10%,0),0)</f>
        <v>0</v>
      </c>
      <c r="Q9" s="225">
        <f t="shared" si="9"/>
        <v>2125</v>
      </c>
      <c r="R9" s="227">
        <f t="shared" si="10"/>
        <v>0</v>
      </c>
      <c r="S9" s="227">
        <f t="shared" si="11"/>
        <v>0</v>
      </c>
      <c r="T9" s="228"/>
      <c r="U9" s="229"/>
      <c r="X9" s="268"/>
      <c r="Y9" s="268"/>
      <c r="Z9" s="268"/>
      <c r="AA9" s="268"/>
    </row>
    <row r="10" spans="1:21" ht="15">
      <c r="A10" s="224">
        <v>41122</v>
      </c>
      <c r="B10" s="225">
        <f>'Data Entry Sheet'!P94</f>
        <v>13270</v>
      </c>
      <c r="C10" s="225">
        <f t="shared" si="2"/>
        <v>0</v>
      </c>
      <c r="D10" s="225">
        <f>'Data Entry Sheet'!Q94</f>
        <v>5566</v>
      </c>
      <c r="E10" s="225">
        <f t="shared" si="0"/>
        <v>1592</v>
      </c>
      <c r="F10" s="225">
        <f t="shared" si="3"/>
        <v>0</v>
      </c>
      <c r="G10" s="225">
        <f>'Data Entry Sheet'!J94</f>
        <v>0</v>
      </c>
      <c r="H10" s="225">
        <f t="shared" si="4"/>
        <v>0</v>
      </c>
      <c r="I10" s="225">
        <f t="shared" si="5"/>
        <v>0</v>
      </c>
      <c r="J10" s="226">
        <f>SUM(B10:I10)</f>
        <v>20428</v>
      </c>
      <c r="K10" s="225">
        <f t="shared" si="6"/>
        <v>1500</v>
      </c>
      <c r="L10" s="225">
        <f t="shared" si="7"/>
        <v>500</v>
      </c>
      <c r="M10" s="225">
        <f t="shared" si="8"/>
        <v>30</v>
      </c>
      <c r="N10" s="227">
        <f>IF('Data Entry Sheet'!R16=1,0,IF(J10&lt;=5000,0,IF(AND(J10&gt;5000,J10&lt;=6000),60,IF(AND(J10&gt;6000,J10&lt;=10000),80,IF(AND(J10&gt;10000,J10&lt;=15000),100,IF(AND(J10&gt;15000,J10&lt;=20000),150,200))))))</f>
        <v>200</v>
      </c>
      <c r="O10" s="225"/>
      <c r="P10" s="225">
        <f>IF('Data Entry Sheet'!P16=2,ROUND(('Salary Table'!B10+'Salary Table'!D10)*10%,0),0)</f>
        <v>0</v>
      </c>
      <c r="Q10" s="225">
        <f t="shared" si="9"/>
        <v>2125</v>
      </c>
      <c r="R10" s="227">
        <f t="shared" si="10"/>
        <v>0</v>
      </c>
      <c r="S10" s="227">
        <f t="shared" si="11"/>
        <v>0</v>
      </c>
      <c r="T10" s="228"/>
      <c r="U10" s="229"/>
    </row>
    <row r="11" spans="1:21" ht="15">
      <c r="A11" s="224">
        <v>41153</v>
      </c>
      <c r="B11" s="225">
        <f>'Data Entry Sheet'!P95</f>
        <v>13270</v>
      </c>
      <c r="C11" s="225">
        <f t="shared" si="2"/>
        <v>0</v>
      </c>
      <c r="D11" s="225">
        <f>'Data Entry Sheet'!Q95</f>
        <v>5566</v>
      </c>
      <c r="E11" s="225">
        <f t="shared" si="0"/>
        <v>1592</v>
      </c>
      <c r="F11" s="225">
        <f t="shared" si="3"/>
        <v>0</v>
      </c>
      <c r="G11" s="225">
        <f>'Data Entry Sheet'!J95</f>
        <v>0</v>
      </c>
      <c r="H11" s="225">
        <f t="shared" si="4"/>
        <v>0</v>
      </c>
      <c r="I11" s="225">
        <f t="shared" si="5"/>
        <v>0</v>
      </c>
      <c r="J11" s="226">
        <f t="shared" si="1"/>
        <v>20428</v>
      </c>
      <c r="K11" s="225">
        <f t="shared" si="6"/>
        <v>1500</v>
      </c>
      <c r="L11" s="225">
        <f t="shared" si="7"/>
        <v>500</v>
      </c>
      <c r="M11" s="225">
        <f t="shared" si="8"/>
        <v>30</v>
      </c>
      <c r="N11" s="227">
        <f>IF('Data Entry Sheet'!R16=1,0,IF(J11&lt;=5000,0,IF(AND(J11&gt;5000,J11&lt;=6000),60,IF(AND(J11&gt;6000,J11&lt;=10000),80,IF(AND(J11&gt;10000,J11&lt;=15000),100,IF(AND(J11&gt;15000,J11&lt;=20000),150,200))))))</f>
        <v>200</v>
      </c>
      <c r="O11" s="225"/>
      <c r="P11" s="225">
        <f>IF('Data Entry Sheet'!P16=2,ROUND(('Salary Table'!B11+'Salary Table'!D11)*10%,0),0)</f>
        <v>0</v>
      </c>
      <c r="Q11" s="225">
        <f t="shared" si="9"/>
        <v>2125</v>
      </c>
      <c r="R11" s="227">
        <f t="shared" si="10"/>
        <v>0</v>
      </c>
      <c r="S11" s="227">
        <f t="shared" si="11"/>
        <v>0</v>
      </c>
      <c r="T11" s="228"/>
      <c r="U11" s="229"/>
    </row>
    <row r="12" spans="1:21" ht="15">
      <c r="A12" s="224">
        <v>41183</v>
      </c>
      <c r="B12" s="225">
        <f>'Data Entry Sheet'!P96</f>
        <v>13270</v>
      </c>
      <c r="C12" s="225">
        <f t="shared" si="2"/>
        <v>0</v>
      </c>
      <c r="D12" s="225">
        <f>'Data Entry Sheet'!Q96</f>
        <v>5566</v>
      </c>
      <c r="E12" s="225">
        <f t="shared" si="0"/>
        <v>1592</v>
      </c>
      <c r="F12" s="225">
        <f t="shared" si="3"/>
        <v>0</v>
      </c>
      <c r="G12" s="225">
        <f>'Data Entry Sheet'!J96</f>
        <v>0</v>
      </c>
      <c r="H12" s="225">
        <f t="shared" si="4"/>
        <v>0</v>
      </c>
      <c r="I12" s="225">
        <f t="shared" si="5"/>
        <v>0</v>
      </c>
      <c r="J12" s="226">
        <f t="shared" si="1"/>
        <v>20428</v>
      </c>
      <c r="K12" s="225">
        <f t="shared" si="6"/>
        <v>1500</v>
      </c>
      <c r="L12" s="225">
        <f t="shared" si="7"/>
        <v>500</v>
      </c>
      <c r="M12" s="225">
        <f t="shared" si="8"/>
        <v>30</v>
      </c>
      <c r="N12" s="227">
        <f>IF('Data Entry Sheet'!R16=1,0,IF(J12&lt;=5000,0,IF(AND(J12&gt;5000,J12&lt;=6000),60,IF(AND(J12&gt;6000,J12&lt;=10000),80,IF(AND(J12&gt;10000,J12&lt;=15000),100,IF(AND(J12&gt;15000,J12&lt;=20000),150,200))))))</f>
        <v>200</v>
      </c>
      <c r="O12" s="225"/>
      <c r="P12" s="225">
        <f>IF('Data Entry Sheet'!P16=2,ROUND(('Salary Table'!B12+'Salary Table'!D12)*10%,0),0)</f>
        <v>0</v>
      </c>
      <c r="Q12" s="225">
        <f t="shared" si="9"/>
        <v>2125</v>
      </c>
      <c r="R12" s="227">
        <f t="shared" si="10"/>
        <v>0</v>
      </c>
      <c r="S12" s="227">
        <f t="shared" si="11"/>
        <v>0</v>
      </c>
      <c r="T12" s="228"/>
      <c r="U12" s="229"/>
    </row>
    <row r="13" spans="1:21" ht="15">
      <c r="A13" s="224">
        <v>41214</v>
      </c>
      <c r="B13" s="225">
        <f>'Data Entry Sheet'!P97</f>
        <v>13660</v>
      </c>
      <c r="C13" s="225">
        <f t="shared" si="2"/>
        <v>0</v>
      </c>
      <c r="D13" s="225">
        <f>'Data Entry Sheet'!Q97</f>
        <v>5730</v>
      </c>
      <c r="E13" s="225">
        <f t="shared" si="0"/>
        <v>1639</v>
      </c>
      <c r="F13" s="225">
        <f t="shared" si="3"/>
        <v>0</v>
      </c>
      <c r="G13" s="225">
        <f>'Data Entry Sheet'!J97</f>
        <v>0</v>
      </c>
      <c r="H13" s="225">
        <f t="shared" si="4"/>
        <v>0</v>
      </c>
      <c r="I13" s="225">
        <f t="shared" si="5"/>
        <v>0</v>
      </c>
      <c r="J13" s="226">
        <f t="shared" si="1"/>
        <v>21029</v>
      </c>
      <c r="K13" s="225">
        <f t="shared" si="6"/>
        <v>1500</v>
      </c>
      <c r="L13" s="225">
        <f t="shared" si="7"/>
        <v>500</v>
      </c>
      <c r="M13" s="225">
        <f t="shared" si="8"/>
        <v>30</v>
      </c>
      <c r="N13" s="227">
        <f>IF('Data Entry Sheet'!R16=1,0,IF(J13&lt;=5000,0,IF(AND(J13&gt;5000,J13&lt;=6000),60,IF(AND(J13&gt;6000,J13&lt;=10000),80,IF(AND(J13&gt;10000,J13&lt;=15000),100,IF(AND(J13&gt;15000,J13&lt;=20000),150,200))))))</f>
        <v>200</v>
      </c>
      <c r="O13" s="225"/>
      <c r="P13" s="225">
        <f>IF('Data Entry Sheet'!P16=2,ROUND(('Salary Table'!B13+'Salary Table'!D13)*10%,0),0)</f>
        <v>0</v>
      </c>
      <c r="Q13" s="225">
        <f t="shared" si="9"/>
        <v>2125</v>
      </c>
      <c r="R13" s="227">
        <f t="shared" si="10"/>
        <v>0</v>
      </c>
      <c r="S13" s="227">
        <f t="shared" si="11"/>
        <v>0</v>
      </c>
      <c r="T13" s="228"/>
      <c r="U13" s="229"/>
    </row>
    <row r="14" spans="1:21" ht="15">
      <c r="A14" s="224">
        <v>41244</v>
      </c>
      <c r="B14" s="225">
        <f>'Data Entry Sheet'!P98</f>
        <v>13660</v>
      </c>
      <c r="C14" s="225">
        <f t="shared" si="2"/>
        <v>0</v>
      </c>
      <c r="D14" s="225">
        <f>'Data Entry Sheet'!Q98</f>
        <v>6548</v>
      </c>
      <c r="E14" s="225">
        <f t="shared" si="0"/>
        <v>1639</v>
      </c>
      <c r="F14" s="225">
        <f t="shared" si="3"/>
        <v>0</v>
      </c>
      <c r="G14" s="225">
        <f>'Data Entry Sheet'!J98</f>
        <v>0</v>
      </c>
      <c r="H14" s="225">
        <f t="shared" si="4"/>
        <v>0</v>
      </c>
      <c r="I14" s="225">
        <f t="shared" si="5"/>
        <v>0</v>
      </c>
      <c r="J14" s="226">
        <f t="shared" si="1"/>
        <v>21847</v>
      </c>
      <c r="K14" s="225">
        <f t="shared" si="6"/>
        <v>1500</v>
      </c>
      <c r="L14" s="225">
        <f t="shared" si="7"/>
        <v>500</v>
      </c>
      <c r="M14" s="225">
        <f t="shared" si="8"/>
        <v>30</v>
      </c>
      <c r="N14" s="227">
        <f>IF('Data Entry Sheet'!R16=1,0,IF(J14&lt;=5000,0,IF(AND(J14&gt;5000,J14&lt;=6000),60,IF(AND(J14&gt;6000,J14&lt;=10000),80,IF(AND(J14&gt;10000,J14&lt;=15000),100,IF(AND(J14&gt;15000,J14&lt;=20000),150,200))))))</f>
        <v>200</v>
      </c>
      <c r="O14" s="225">
        <v>20</v>
      </c>
      <c r="P14" s="225">
        <f>IF('Data Entry Sheet'!P16=2,ROUND(('Salary Table'!B14+'Salary Table'!D14)*10%,0),0)</f>
        <v>0</v>
      </c>
      <c r="Q14" s="225">
        <f t="shared" si="9"/>
        <v>2125</v>
      </c>
      <c r="R14" s="227">
        <f t="shared" si="10"/>
        <v>0</v>
      </c>
      <c r="S14" s="227">
        <f t="shared" si="11"/>
        <v>0</v>
      </c>
      <c r="T14" s="228"/>
      <c r="U14" s="229"/>
    </row>
    <row r="15" spans="1:21" ht="15">
      <c r="A15" s="224">
        <v>41275</v>
      </c>
      <c r="B15" s="225">
        <f>'Data Entry Sheet'!P99</f>
        <v>13660</v>
      </c>
      <c r="C15" s="225">
        <f t="shared" si="2"/>
        <v>0</v>
      </c>
      <c r="D15" s="225">
        <f>'Data Entry Sheet'!Q99</f>
        <v>6548</v>
      </c>
      <c r="E15" s="225">
        <f t="shared" si="0"/>
        <v>1639</v>
      </c>
      <c r="F15" s="225">
        <f t="shared" si="3"/>
        <v>0</v>
      </c>
      <c r="G15" s="225">
        <f>'Data Entry Sheet'!J99</f>
        <v>0</v>
      </c>
      <c r="H15" s="225">
        <f t="shared" si="4"/>
        <v>0</v>
      </c>
      <c r="I15" s="225">
        <f t="shared" si="5"/>
        <v>0</v>
      </c>
      <c r="J15" s="226">
        <f t="shared" si="1"/>
        <v>21847</v>
      </c>
      <c r="K15" s="225">
        <f t="shared" si="6"/>
        <v>1500</v>
      </c>
      <c r="L15" s="225">
        <f t="shared" si="7"/>
        <v>500</v>
      </c>
      <c r="M15" s="225">
        <f t="shared" si="8"/>
        <v>30</v>
      </c>
      <c r="N15" s="227">
        <f>IF('Data Entry Sheet'!R16=1,0,IF(J15&lt;=5000,0,IF(AND(J15&gt;5000,J15&lt;=6000),60,IF(AND(J15&gt;6000,J15&lt;=10000),80,IF(AND(J15&gt;10000,J15&lt;=15000),100,IF(AND(J15&gt;15000,J15&lt;=20000),150,200))))))</f>
        <v>200</v>
      </c>
      <c r="O15" s="225"/>
      <c r="P15" s="225">
        <f>IF('Data Entry Sheet'!P16=2,ROUND(('Salary Table'!B15+'Salary Table'!D15)*10%,0),0)</f>
        <v>0</v>
      </c>
      <c r="Q15" s="225">
        <f t="shared" si="9"/>
        <v>2125</v>
      </c>
      <c r="R15" s="227">
        <f t="shared" si="10"/>
        <v>0</v>
      </c>
      <c r="S15" s="227">
        <f t="shared" si="11"/>
        <v>0</v>
      </c>
      <c r="T15" s="228"/>
      <c r="U15" s="229"/>
    </row>
    <row r="16" spans="1:21" ht="15">
      <c r="A16" s="224">
        <v>41306</v>
      </c>
      <c r="B16" s="225">
        <f>'Data Entry Sheet'!P100</f>
        <v>13660</v>
      </c>
      <c r="C16" s="225">
        <f t="shared" si="2"/>
        <v>0</v>
      </c>
      <c r="D16" s="225">
        <f>'Data Entry Sheet'!Q100</f>
        <v>6548</v>
      </c>
      <c r="E16" s="225">
        <f t="shared" si="0"/>
        <v>1639</v>
      </c>
      <c r="F16" s="225">
        <f t="shared" si="3"/>
        <v>0</v>
      </c>
      <c r="G16" s="225">
        <f>'Data Entry Sheet'!J100</f>
        <v>0</v>
      </c>
      <c r="H16" s="225">
        <f t="shared" si="4"/>
        <v>0</v>
      </c>
      <c r="I16" s="225">
        <f t="shared" si="5"/>
        <v>0</v>
      </c>
      <c r="J16" s="226">
        <f t="shared" si="1"/>
        <v>21847</v>
      </c>
      <c r="K16" s="225">
        <f t="shared" si="6"/>
        <v>1500</v>
      </c>
      <c r="L16" s="225">
        <f t="shared" si="7"/>
        <v>500</v>
      </c>
      <c r="M16" s="225">
        <f t="shared" si="8"/>
        <v>30</v>
      </c>
      <c r="N16" s="227">
        <f>IF('Data Entry Sheet'!R16=1,0,IF(J16&lt;=5000,0,IF(AND(J16&gt;5000,J16&lt;=6000),60,IF(AND(J16&gt;6000,J16&lt;=10000),80,IF(AND(J16&gt;10000,J16&lt;=15000),100,IF(AND(J16&gt;15000,J16&lt;=20000),150,200))))))</f>
        <v>200</v>
      </c>
      <c r="O16" s="225"/>
      <c r="P16" s="225">
        <f>IF('Data Entry Sheet'!P16=2,ROUND(('Salary Table'!B16+'Salary Table'!D16)*10%,0),0)</f>
        <v>0</v>
      </c>
      <c r="Q16" s="225">
        <f t="shared" si="9"/>
        <v>2125</v>
      </c>
      <c r="R16" s="227">
        <f t="shared" si="10"/>
        <v>0</v>
      </c>
      <c r="S16" s="227">
        <f t="shared" si="11"/>
        <v>0</v>
      </c>
      <c r="T16" s="228"/>
      <c r="U16" s="229"/>
    </row>
    <row r="17" spans="1:21" ht="30">
      <c r="A17" s="230" t="s">
        <v>16</v>
      </c>
      <c r="B17" s="408" t="str">
        <f>'Data Entry Sheet'!R13</f>
        <v>Jan-12 to Jun-12</v>
      </c>
      <c r="C17" s="225"/>
      <c r="D17" s="225">
        <f>IF('Data Entry Sheet'!F13&gt;0,'Data Entry Sheet'!F13,'Data Entry Sheet'!E13)</f>
        <v>4770</v>
      </c>
      <c r="E17" s="225"/>
      <c r="F17" s="225"/>
      <c r="G17" s="225"/>
      <c r="H17" s="225"/>
      <c r="I17" s="225"/>
      <c r="J17" s="226">
        <f>D17</f>
        <v>4770</v>
      </c>
      <c r="K17" s="225">
        <f>IF('Data Entry Sheet'!P16=2,0,IF('Data Entry Sheet'!F13=0,'Data Entry Sheet'!S102,""))</f>
        <v>3180</v>
      </c>
      <c r="L17" s="225"/>
      <c r="M17" s="225"/>
      <c r="N17" s="225"/>
      <c r="O17" s="225"/>
      <c r="P17" s="225"/>
      <c r="Q17" s="225"/>
      <c r="R17" s="225"/>
      <c r="S17" s="225"/>
      <c r="T17" s="231"/>
      <c r="U17" s="232"/>
    </row>
    <row r="18" spans="1:21" ht="30">
      <c r="A18" s="230" t="s">
        <v>16</v>
      </c>
      <c r="B18" s="408" t="str">
        <f>'Data Entry Sheet'!R14</f>
        <v>Jul-12 to Nov-12</v>
      </c>
      <c r="C18" s="225"/>
      <c r="D18" s="225">
        <f>IF('Data Entry Sheet'!F14&gt;0,'Data Entry Sheet'!F14,'Data Entry Sheet'!E14)</f>
        <v>4090</v>
      </c>
      <c r="E18" s="225"/>
      <c r="F18" s="225"/>
      <c r="G18" s="225"/>
      <c r="H18" s="225"/>
      <c r="I18" s="225"/>
      <c r="J18" s="226">
        <f>D18</f>
        <v>4090</v>
      </c>
      <c r="K18" s="225">
        <v>3681</v>
      </c>
      <c r="L18" s="225"/>
      <c r="M18" s="225"/>
      <c r="N18" s="225"/>
      <c r="O18" s="225"/>
      <c r="P18" s="225"/>
      <c r="Q18" s="225"/>
      <c r="R18" s="225"/>
      <c r="S18" s="225"/>
      <c r="T18" s="231"/>
      <c r="U18" s="232"/>
    </row>
    <row r="19" spans="1:21" ht="23.25">
      <c r="A19" s="233" t="s">
        <v>23</v>
      </c>
      <c r="B19" s="225">
        <v>5880</v>
      </c>
      <c r="C19" s="225">
        <v>0</v>
      </c>
      <c r="D19" s="225">
        <v>1976</v>
      </c>
      <c r="E19" s="225">
        <v>662</v>
      </c>
      <c r="F19" s="225">
        <v>0</v>
      </c>
      <c r="G19" s="225">
        <v>0</v>
      </c>
      <c r="H19" s="225">
        <v>0</v>
      </c>
      <c r="I19" s="225"/>
      <c r="J19" s="226">
        <f t="shared" si="1"/>
        <v>8518</v>
      </c>
      <c r="K19" s="225">
        <v>243</v>
      </c>
      <c r="L19" s="225"/>
      <c r="M19" s="225"/>
      <c r="N19" s="225"/>
      <c r="O19" s="225"/>
      <c r="P19" s="225"/>
      <c r="Q19" s="225"/>
      <c r="R19" s="225"/>
      <c r="S19" s="225"/>
      <c r="T19" s="231"/>
      <c r="U19" s="232"/>
    </row>
    <row r="20" spans="1:21" ht="30">
      <c r="A20" s="234" t="s">
        <v>17</v>
      </c>
      <c r="B20" s="225">
        <v>6830</v>
      </c>
      <c r="C20" s="225">
        <v>0</v>
      </c>
      <c r="D20" s="225">
        <v>3274</v>
      </c>
      <c r="E20" s="225">
        <v>820</v>
      </c>
      <c r="F20" s="225"/>
      <c r="G20" s="225"/>
      <c r="H20" s="225"/>
      <c r="I20" s="225"/>
      <c r="J20" s="226">
        <f t="shared" si="1"/>
        <v>10924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31"/>
      <c r="U20" s="232"/>
    </row>
    <row r="21" spans="1:21" ht="30">
      <c r="A21" s="234" t="s">
        <v>18</v>
      </c>
      <c r="B21" s="225">
        <v>0</v>
      </c>
      <c r="C21" s="225"/>
      <c r="D21" s="225">
        <v>0</v>
      </c>
      <c r="E21" s="225">
        <v>0</v>
      </c>
      <c r="F21" s="225"/>
      <c r="G21" s="225">
        <v>0</v>
      </c>
      <c r="H21" s="225">
        <v>0</v>
      </c>
      <c r="I21" s="225">
        <v>0</v>
      </c>
      <c r="J21" s="226">
        <f t="shared" si="1"/>
        <v>0</v>
      </c>
      <c r="K21" s="225">
        <v>0</v>
      </c>
      <c r="L21" s="225"/>
      <c r="M21" s="225"/>
      <c r="N21" s="225"/>
      <c r="O21" s="225"/>
      <c r="P21" s="225">
        <v>0</v>
      </c>
      <c r="Q21" s="225"/>
      <c r="R21" s="225"/>
      <c r="S21" s="225"/>
      <c r="T21" s="231"/>
      <c r="U21" s="232"/>
    </row>
    <row r="22" spans="1:21" ht="27" customHeight="1">
      <c r="A22" s="239" t="s">
        <v>348</v>
      </c>
      <c r="B22" s="225"/>
      <c r="C22" s="225"/>
      <c r="D22" s="225"/>
      <c r="E22" s="225"/>
      <c r="F22" s="225"/>
      <c r="G22" s="225"/>
      <c r="H22" s="225"/>
      <c r="I22" s="225"/>
      <c r="J22" s="226">
        <f t="shared" si="1"/>
        <v>0</v>
      </c>
      <c r="K22" s="225"/>
      <c r="L22" s="225"/>
      <c r="M22" s="225"/>
      <c r="N22" s="225"/>
      <c r="O22" s="225"/>
      <c r="P22" s="225"/>
      <c r="Q22" s="225"/>
      <c r="R22" s="225"/>
      <c r="S22" s="225"/>
      <c r="T22" s="231"/>
      <c r="U22" s="232"/>
    </row>
    <row r="23" spans="1:21" ht="15">
      <c r="A23" s="235" t="s">
        <v>19</v>
      </c>
      <c r="B23" s="225">
        <f>B5+B6+B7+B8+B9+B10+B11+B12+B13+B14+B15+B16+B19+B20+B21+B22</f>
        <v>173510</v>
      </c>
      <c r="C23" s="225">
        <f>C5+C6+C7+C8+C9+C10+C11+C12+C13+C14+C15+C16+C19+C20+C21+C22</f>
        <v>0</v>
      </c>
      <c r="D23" s="225">
        <f>SUM(D5:D22)</f>
        <v>80832</v>
      </c>
      <c r="E23" s="225">
        <f aca="true" t="shared" si="12" ref="E23:U23">SUM(E5:E22)</f>
        <v>20774</v>
      </c>
      <c r="F23" s="225">
        <f t="shared" si="12"/>
        <v>0</v>
      </c>
      <c r="G23" s="225">
        <f t="shared" si="12"/>
        <v>0</v>
      </c>
      <c r="H23" s="225">
        <f t="shared" si="12"/>
        <v>0</v>
      </c>
      <c r="I23" s="225">
        <f t="shared" si="12"/>
        <v>0</v>
      </c>
      <c r="J23" s="225">
        <f t="shared" si="12"/>
        <v>275116</v>
      </c>
      <c r="K23" s="225">
        <f t="shared" si="12"/>
        <v>25104</v>
      </c>
      <c r="L23" s="225">
        <f t="shared" si="12"/>
        <v>6000</v>
      </c>
      <c r="M23" s="225">
        <f t="shared" si="12"/>
        <v>360</v>
      </c>
      <c r="N23" s="225">
        <f t="shared" si="12"/>
        <v>2200</v>
      </c>
      <c r="O23" s="225">
        <f t="shared" si="12"/>
        <v>40</v>
      </c>
      <c r="P23" s="225">
        <f t="shared" si="12"/>
        <v>0</v>
      </c>
      <c r="Q23" s="225">
        <f t="shared" si="12"/>
        <v>25500</v>
      </c>
      <c r="R23" s="225">
        <f t="shared" si="12"/>
        <v>0</v>
      </c>
      <c r="S23" s="225">
        <f t="shared" si="12"/>
        <v>0</v>
      </c>
      <c r="T23" s="225">
        <f t="shared" si="12"/>
        <v>0</v>
      </c>
      <c r="U23" s="232">
        <f t="shared" si="12"/>
        <v>0</v>
      </c>
    </row>
    <row r="24" spans="1:21" ht="12.75" customHeight="1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8"/>
    </row>
    <row r="25" spans="1:21" ht="15.75" customHeight="1">
      <c r="A25" s="236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8"/>
    </row>
    <row r="26" spans="1:21" ht="21" customHeight="1">
      <c r="A26" s="236" t="s">
        <v>20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 t="s">
        <v>21</v>
      </c>
      <c r="R26" s="237"/>
      <c r="S26" s="237"/>
      <c r="T26" s="237"/>
      <c r="U26" s="238"/>
    </row>
    <row r="27" spans="1:21" ht="21" customHeight="1" thickBot="1">
      <c r="A27" s="214"/>
      <c r="B27" s="215"/>
      <c r="C27" s="215"/>
      <c r="D27" s="216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7"/>
    </row>
    <row r="28" ht="15.75" thickTop="1"/>
    <row r="30" spans="18:22" ht="15">
      <c r="R30" s="13"/>
      <c r="S30" s="13"/>
      <c r="T30" s="13"/>
      <c r="U30" s="13"/>
      <c r="V30" s="13"/>
    </row>
    <row r="31" spans="2:22" ht="15">
      <c r="B31" s="14"/>
      <c r="C31" s="14"/>
      <c r="D31" s="14"/>
      <c r="E31" s="14"/>
      <c r="F31" s="14"/>
      <c r="G31" s="14"/>
      <c r="H31" s="14"/>
      <c r="I31" s="14"/>
      <c r="J31" s="14"/>
      <c r="K31" s="9"/>
      <c r="L31" s="9"/>
      <c r="M31" s="9"/>
      <c r="N31" s="9"/>
      <c r="O31" s="9"/>
      <c r="R31" s="15"/>
      <c r="S31" s="15"/>
      <c r="T31" s="15"/>
      <c r="U31" s="15"/>
      <c r="V31" s="16"/>
    </row>
    <row r="32" spans="2:23" ht="15">
      <c r="B32" s="14"/>
      <c r="C32" s="14"/>
      <c r="D32" s="14"/>
      <c r="E32" s="17"/>
      <c r="F32" s="14"/>
      <c r="G32" s="14"/>
      <c r="H32" s="14"/>
      <c r="I32" s="14"/>
      <c r="J32" s="14"/>
      <c r="K32" s="9"/>
      <c r="L32" s="9"/>
      <c r="M32" s="9"/>
      <c r="N32" s="9"/>
      <c r="O32" s="9"/>
      <c r="R32" s="18"/>
      <c r="S32" s="18"/>
      <c r="T32" s="18"/>
      <c r="U32" s="18"/>
      <c r="V32" s="9"/>
      <c r="W32" s="9"/>
    </row>
    <row r="33" spans="2:21" ht="15">
      <c r="B33" s="14"/>
      <c r="C33" s="14"/>
      <c r="D33" s="14"/>
      <c r="E33" s="14"/>
      <c r="F33" s="14"/>
      <c r="G33" s="14"/>
      <c r="H33" s="14"/>
      <c r="I33" s="14"/>
      <c r="J33" s="14"/>
      <c r="R33" s="18"/>
      <c r="S33" s="18"/>
      <c r="T33" s="18"/>
      <c r="U33" s="18"/>
    </row>
    <row r="34" spans="2:21" ht="15">
      <c r="B34" s="14"/>
      <c r="C34" s="14"/>
      <c r="D34" s="14"/>
      <c r="E34" s="14"/>
      <c r="F34" s="14"/>
      <c r="G34" s="14"/>
      <c r="H34" s="14"/>
      <c r="I34" s="14"/>
      <c r="J34" s="14"/>
      <c r="R34" s="18"/>
      <c r="S34" s="18"/>
      <c r="T34" s="18"/>
      <c r="U34" s="18"/>
    </row>
    <row r="35" spans="2:21" ht="15">
      <c r="B35" s="14"/>
      <c r="C35" s="14"/>
      <c r="D35" s="14"/>
      <c r="E35" s="17"/>
      <c r="F35" s="14"/>
      <c r="G35" s="14"/>
      <c r="H35" s="14"/>
      <c r="I35" s="14"/>
      <c r="J35" s="14"/>
      <c r="R35" s="18"/>
      <c r="S35" s="18"/>
      <c r="T35" s="18"/>
      <c r="U35" s="18"/>
    </row>
    <row r="36" spans="18:23" ht="15">
      <c r="R36" s="18"/>
      <c r="S36" s="18"/>
      <c r="T36" s="18"/>
      <c r="U36" s="18"/>
      <c r="V36" s="9"/>
      <c r="W36" s="9"/>
    </row>
    <row r="37" spans="18:22" ht="15">
      <c r="R37" s="266"/>
      <c r="S37" s="266"/>
      <c r="T37" s="266"/>
      <c r="U37" s="266"/>
      <c r="V37" s="266"/>
    </row>
    <row r="39" ht="15" hidden="1"/>
    <row r="40" ht="15" hidden="1"/>
    <row r="41" spans="3:6" ht="26.25" customHeight="1" hidden="1">
      <c r="C41" s="9"/>
      <c r="D41" s="9"/>
      <c r="E41" s="104" t="str">
        <f>'Data Entry Sheet'!D1</f>
        <v>S V P K Srinivas</v>
      </c>
      <c r="F41" s="104" t="str">
        <f>CONCATENATE("Statement Showing Month Wise Income particulars of Sri/Smt./Kum. ",E41,", ",E42,", ",E43,", ",E44," Mandal For the Year 2012-13")</f>
        <v>Statement Showing Month Wise Income particulars of Sri/Smt./Kum. S V P K Srinivas, SGT, MPUPS,Bobbarlanka, Mopidevi Mandal For the Year 2012-13</v>
      </c>
    </row>
    <row r="42" spans="3:24" ht="26.25" customHeight="1" hidden="1">
      <c r="C42" s="9"/>
      <c r="D42" s="9"/>
      <c r="E42" s="104" t="str">
        <f>'Data Entry Sheet'!D2</f>
        <v>SGT</v>
      </c>
      <c r="X42" s="4" t="s">
        <v>22</v>
      </c>
    </row>
    <row r="43" spans="3:5" ht="26.25" customHeight="1" hidden="1">
      <c r="C43" s="9"/>
      <c r="D43" s="9"/>
      <c r="E43" s="104" t="str">
        <f>'Data Entry Sheet'!D3</f>
        <v>MPUPS,Bobbarlanka</v>
      </c>
    </row>
    <row r="44" spans="3:5" ht="26.25" customHeight="1" hidden="1">
      <c r="C44" s="9"/>
      <c r="D44" s="9"/>
      <c r="E44" s="104" t="str">
        <f>'Data Entry Sheet'!D4</f>
        <v>Mopidevi</v>
      </c>
    </row>
    <row r="45" spans="3:5" ht="26.25" customHeight="1" hidden="1">
      <c r="C45" s="9"/>
      <c r="D45" s="9"/>
      <c r="E45" s="104"/>
    </row>
    <row r="46" spans="3:4" ht="26.25" customHeight="1" hidden="1">
      <c r="C46" s="9"/>
      <c r="D46" s="9"/>
    </row>
    <row r="47" spans="3:4" ht="26.25" customHeight="1">
      <c r="C47" s="9"/>
      <c r="D47" s="9"/>
    </row>
    <row r="48" spans="3:4" ht="26.25" customHeight="1">
      <c r="C48" s="9"/>
      <c r="D48" s="9"/>
    </row>
    <row r="49" spans="3:4" ht="26.25" customHeight="1">
      <c r="C49" s="9"/>
      <c r="D49" s="9"/>
    </row>
    <row r="50" spans="3:4" ht="26.25" customHeight="1">
      <c r="C50" s="9"/>
      <c r="D50" s="9"/>
    </row>
    <row r="51" ht="26.25" customHeight="1"/>
    <row r="52" ht="26.25" customHeight="1"/>
  </sheetData>
  <sheetProtection password="C71F" sheet="1"/>
  <mergeCells count="6">
    <mergeCell ref="R37:V37"/>
    <mergeCell ref="X5:AA5"/>
    <mergeCell ref="X6:AA6"/>
    <mergeCell ref="Y7:Z7"/>
    <mergeCell ref="X8:AA8"/>
    <mergeCell ref="X9:AA9"/>
  </mergeCells>
  <printOptions horizontalCentered="1" vertic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O66"/>
  <sheetViews>
    <sheetView zoomScalePageLayoutView="0" workbookViewId="0" topLeftCell="A4">
      <selection activeCell="F56" sqref="F56:G56"/>
    </sheetView>
  </sheetViews>
  <sheetFormatPr defaultColWidth="9.140625" defaultRowHeight="15"/>
  <cols>
    <col min="1" max="1" width="3.00390625" style="147" customWidth="1"/>
    <col min="2" max="2" width="3.421875" style="147" customWidth="1"/>
    <col min="3" max="3" width="15.421875" style="147" customWidth="1"/>
    <col min="4" max="4" width="18.57421875" style="147" customWidth="1"/>
    <col min="5" max="5" width="3.140625" style="147" customWidth="1"/>
    <col min="6" max="6" width="8.57421875" style="147" customWidth="1"/>
    <col min="7" max="7" width="2.8515625" style="147" customWidth="1"/>
    <col min="8" max="8" width="3.57421875" style="147" customWidth="1"/>
    <col min="9" max="9" width="8.421875" style="147" customWidth="1"/>
    <col min="10" max="10" width="3.140625" style="147" customWidth="1"/>
    <col min="11" max="11" width="10.140625" style="147" customWidth="1"/>
    <col min="12" max="12" width="3.28125" style="147" customWidth="1"/>
    <col min="13" max="13" width="13.7109375" style="147" customWidth="1"/>
    <col min="14" max="14" width="6.421875" style="147" customWidth="1"/>
    <col min="15" max="15" width="10.421875" style="147" customWidth="1"/>
    <col min="16" max="16384" width="9.140625" style="147" customWidth="1"/>
  </cols>
  <sheetData>
    <row r="1" spans="1:15" ht="31.5" customHeight="1" thickTop="1">
      <c r="A1" s="327" t="s">
        <v>358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  <c r="N1" s="146"/>
      <c r="O1" s="146"/>
    </row>
    <row r="2" spans="1:15" ht="26.25" customHeight="1">
      <c r="A2" s="330" t="s">
        <v>24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148"/>
      <c r="O2" s="148"/>
    </row>
    <row r="3" spans="1:13" ht="3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ht="13.5" customHeight="1">
      <c r="A4" s="333" t="s">
        <v>25</v>
      </c>
      <c r="B4" s="334"/>
      <c r="C4" s="334"/>
      <c r="D4" s="334"/>
      <c r="E4" s="334"/>
      <c r="F4" s="334"/>
      <c r="G4" s="334" t="s">
        <v>26</v>
      </c>
      <c r="H4" s="334"/>
      <c r="I4" s="334"/>
      <c r="J4" s="334"/>
      <c r="K4" s="334"/>
      <c r="L4" s="334"/>
      <c r="M4" s="335"/>
    </row>
    <row r="5" spans="1:13" ht="13.5" customHeight="1">
      <c r="A5" s="317" t="str">
        <f>IF('Data Entry Sheet'!D9=0,"",'Data Entry Sheet'!D9)</f>
        <v>B.Rattaiah</v>
      </c>
      <c r="B5" s="315"/>
      <c r="C5" s="315"/>
      <c r="D5" s="315"/>
      <c r="E5" s="315"/>
      <c r="F5" s="318"/>
      <c r="G5" s="314" t="str">
        <f>'Data Entry Sheet'!D1</f>
        <v>S V P K Srinivas</v>
      </c>
      <c r="H5" s="315"/>
      <c r="I5" s="315"/>
      <c r="J5" s="315"/>
      <c r="K5" s="315"/>
      <c r="L5" s="315"/>
      <c r="M5" s="316"/>
    </row>
    <row r="6" spans="1:13" ht="13.5" customHeight="1">
      <c r="A6" s="317" t="str">
        <f>'Data Entry Sheet'!M2</f>
        <v>MEO</v>
      </c>
      <c r="B6" s="315"/>
      <c r="C6" s="315"/>
      <c r="D6" s="315"/>
      <c r="E6" s="315"/>
      <c r="F6" s="318"/>
      <c r="G6" s="314" t="str">
        <f>'Data Entry Sheet'!D2</f>
        <v>SGT</v>
      </c>
      <c r="H6" s="315"/>
      <c r="I6" s="315"/>
      <c r="J6" s="315"/>
      <c r="K6" s="315"/>
      <c r="L6" s="315"/>
      <c r="M6" s="316"/>
    </row>
    <row r="7" spans="1:13" ht="13.5" customHeight="1">
      <c r="A7" s="317" t="str">
        <f>IF('Data Entry Sheet'!D7=0,"",'Data Entry Sheet'!D7)</f>
        <v>MRC</v>
      </c>
      <c r="B7" s="315"/>
      <c r="C7" s="315"/>
      <c r="D7" s="315"/>
      <c r="E7" s="315"/>
      <c r="F7" s="318"/>
      <c r="G7" s="314" t="str">
        <f>'Data Entry Sheet'!D3</f>
        <v>MPUPS,Bobbarlanka</v>
      </c>
      <c r="H7" s="315"/>
      <c r="I7" s="315"/>
      <c r="J7" s="315"/>
      <c r="K7" s="315"/>
      <c r="L7" s="315"/>
      <c r="M7" s="316"/>
    </row>
    <row r="8" spans="1:13" ht="13.5" customHeight="1">
      <c r="A8" s="317" t="str">
        <f>G8</f>
        <v>Mopidevi Mandal</v>
      </c>
      <c r="B8" s="315"/>
      <c r="C8" s="315"/>
      <c r="D8" s="315"/>
      <c r="E8" s="315"/>
      <c r="F8" s="318"/>
      <c r="G8" s="314" t="str">
        <f>CONCATENATE('Data Entry Sheet'!D4," Mandal")</f>
        <v>Mopidevi Mandal</v>
      </c>
      <c r="H8" s="315"/>
      <c r="I8" s="315"/>
      <c r="J8" s="315"/>
      <c r="K8" s="315"/>
      <c r="L8" s="315"/>
      <c r="M8" s="316"/>
    </row>
    <row r="9" spans="1:13" ht="3.75" customHeight="1">
      <c r="A9" s="152"/>
      <c r="B9" s="153"/>
      <c r="C9" s="153"/>
      <c r="D9" s="153"/>
      <c r="E9" s="153"/>
      <c r="F9" s="154"/>
      <c r="G9" s="155"/>
      <c r="H9" s="156"/>
      <c r="I9" s="156"/>
      <c r="J9" s="153"/>
      <c r="K9" s="153"/>
      <c r="L9" s="153"/>
      <c r="M9" s="157"/>
    </row>
    <row r="10" spans="1:13" ht="14.25" customHeight="1">
      <c r="A10" s="319" t="s">
        <v>28</v>
      </c>
      <c r="B10" s="320"/>
      <c r="C10" s="320"/>
      <c r="D10" s="321" t="s">
        <v>29</v>
      </c>
      <c r="E10" s="321"/>
      <c r="F10" s="321"/>
      <c r="G10" s="158" t="s">
        <v>30</v>
      </c>
      <c r="H10" s="158"/>
      <c r="I10" s="158"/>
      <c r="J10" s="23"/>
      <c r="K10" s="293" t="s">
        <v>31</v>
      </c>
      <c r="L10" s="293"/>
      <c r="M10" s="322"/>
    </row>
    <row r="11" spans="1:13" ht="14.25" customHeight="1">
      <c r="A11" s="299" t="s">
        <v>22</v>
      </c>
      <c r="B11" s="300"/>
      <c r="C11" s="300"/>
      <c r="D11" s="300">
        <f>IF('Data Entry Sheet'!D8=0,"",'Data Entry Sheet'!D8)</f>
      </c>
      <c r="E11" s="300"/>
      <c r="F11" s="300"/>
      <c r="G11" s="301">
        <f>IF('Data Entry Sheet'!D5&gt;0,'Data Entry Sheet'!D5,"")</f>
      </c>
      <c r="H11" s="302"/>
      <c r="I11" s="302"/>
      <c r="J11" s="303"/>
      <c r="K11" s="300"/>
      <c r="L11" s="300"/>
      <c r="M11" s="304"/>
    </row>
    <row r="12" spans="1:15" ht="27" customHeight="1">
      <c r="A12" s="305" t="s">
        <v>32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  <c r="N12" s="159"/>
      <c r="O12" s="159"/>
    </row>
    <row r="13" spans="1:13" ht="13.5" customHeight="1">
      <c r="A13" s="292" t="s">
        <v>33</v>
      </c>
      <c r="B13" s="281"/>
      <c r="C13" s="282"/>
      <c r="D13" s="293" t="s">
        <v>34</v>
      </c>
      <c r="E13" s="293"/>
      <c r="F13" s="281" t="s">
        <v>35</v>
      </c>
      <c r="G13" s="282"/>
      <c r="H13" s="302" t="s">
        <v>36</v>
      </c>
      <c r="I13" s="302"/>
      <c r="J13" s="302"/>
      <c r="K13" s="303"/>
      <c r="L13" s="308" t="s">
        <v>365</v>
      </c>
      <c r="M13" s="309"/>
    </row>
    <row r="14" spans="1:13" ht="13.5" customHeight="1">
      <c r="A14" s="292">
        <v>1</v>
      </c>
      <c r="B14" s="281"/>
      <c r="C14" s="282"/>
      <c r="D14" s="293"/>
      <c r="E14" s="293"/>
      <c r="F14" s="294">
        <f>'Data Entry Sheet'!H23+'Data Entry Sheet'!H24+'Data Entry Sheet'!H25</f>
        <v>0</v>
      </c>
      <c r="G14" s="282"/>
      <c r="H14" s="295" t="s">
        <v>37</v>
      </c>
      <c r="I14" s="296"/>
      <c r="J14" s="295" t="s">
        <v>38</v>
      </c>
      <c r="K14" s="296"/>
      <c r="L14" s="310"/>
      <c r="M14" s="311"/>
    </row>
    <row r="15" spans="1:13" ht="13.5" customHeight="1">
      <c r="A15" s="292">
        <v>2</v>
      </c>
      <c r="B15" s="281"/>
      <c r="C15" s="282"/>
      <c r="D15" s="293"/>
      <c r="E15" s="293"/>
      <c r="F15" s="294">
        <f>'Data Entry Sheet'!H26+'Data Entry Sheet'!H27+'Data Entry Sheet'!H28</f>
        <v>0</v>
      </c>
      <c r="G15" s="282"/>
      <c r="H15" s="297"/>
      <c r="I15" s="298"/>
      <c r="J15" s="297"/>
      <c r="K15" s="298"/>
      <c r="L15" s="312"/>
      <c r="M15" s="313"/>
    </row>
    <row r="16" spans="1:13" ht="13.5" customHeight="1">
      <c r="A16" s="292">
        <v>3</v>
      </c>
      <c r="B16" s="281"/>
      <c r="C16" s="282"/>
      <c r="D16" s="293"/>
      <c r="E16" s="293"/>
      <c r="F16" s="294">
        <f>'Data Entry Sheet'!H29+'Data Entry Sheet'!H30+'Data Entry Sheet'!H31</f>
        <v>0</v>
      </c>
      <c r="G16" s="282"/>
      <c r="H16" s="291">
        <v>41000</v>
      </c>
      <c r="I16" s="291"/>
      <c r="J16" s="291">
        <v>41364</v>
      </c>
      <c r="K16" s="291"/>
      <c r="L16" s="323" t="s">
        <v>329</v>
      </c>
      <c r="M16" s="324"/>
    </row>
    <row r="17" spans="1:13" ht="13.5" customHeight="1">
      <c r="A17" s="292">
        <v>4</v>
      </c>
      <c r="B17" s="281"/>
      <c r="C17" s="282"/>
      <c r="D17" s="293"/>
      <c r="E17" s="293"/>
      <c r="F17" s="294">
        <f>'Data Entry Sheet'!H32+'Data Entry Sheet'!H33+'Data Entry Sheet'!H34</f>
        <v>0</v>
      </c>
      <c r="G17" s="282"/>
      <c r="H17" s="291"/>
      <c r="I17" s="291"/>
      <c r="J17" s="291"/>
      <c r="K17" s="291"/>
      <c r="L17" s="325"/>
      <c r="M17" s="326"/>
    </row>
    <row r="18" spans="1:13" ht="13.5" customHeight="1">
      <c r="A18" s="149" t="s">
        <v>39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</row>
    <row r="19" spans="1:13" ht="3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</row>
    <row r="20" spans="1:13" ht="12.75" customHeight="1">
      <c r="A20" s="160">
        <v>1</v>
      </c>
      <c r="B20" s="24" t="s">
        <v>40</v>
      </c>
      <c r="C20" s="20"/>
      <c r="D20" s="20"/>
      <c r="E20" s="20"/>
      <c r="F20" s="20"/>
      <c r="G20" s="22"/>
      <c r="H20" s="24" t="s">
        <v>41</v>
      </c>
      <c r="I20" s="20">
        <f>'Salary Table'!J23</f>
        <v>275116</v>
      </c>
      <c r="J20" s="161"/>
      <c r="K20" s="162"/>
      <c r="L20" s="161"/>
      <c r="M20" s="163"/>
    </row>
    <row r="21" spans="1:13" ht="12.75" customHeight="1">
      <c r="A21" s="164"/>
      <c r="B21" s="23" t="s">
        <v>42</v>
      </c>
      <c r="C21" s="20" t="s">
        <v>43</v>
      </c>
      <c r="D21" s="20"/>
      <c r="E21" s="20"/>
      <c r="F21" s="20"/>
      <c r="G21" s="22"/>
      <c r="H21" s="24" t="s">
        <v>41</v>
      </c>
      <c r="I21" s="20">
        <v>0</v>
      </c>
      <c r="J21" s="165"/>
      <c r="K21" s="166"/>
      <c r="L21" s="165"/>
      <c r="M21" s="151"/>
    </row>
    <row r="22" spans="1:13" ht="12.75" customHeight="1">
      <c r="A22" s="164"/>
      <c r="B22" s="167" t="s">
        <v>44</v>
      </c>
      <c r="C22" s="168" t="s">
        <v>45</v>
      </c>
      <c r="D22" s="168"/>
      <c r="E22" s="168"/>
      <c r="F22" s="168"/>
      <c r="G22" s="162"/>
      <c r="H22" s="161" t="s">
        <v>41</v>
      </c>
      <c r="I22" s="168">
        <v>0</v>
      </c>
      <c r="J22" s="165"/>
      <c r="K22" s="166"/>
      <c r="L22" s="165"/>
      <c r="M22" s="151"/>
    </row>
    <row r="23" spans="1:13" ht="12.75" customHeight="1">
      <c r="A23" s="164"/>
      <c r="B23" s="169"/>
      <c r="C23" s="170" t="s">
        <v>46</v>
      </c>
      <c r="D23" s="170"/>
      <c r="E23" s="170"/>
      <c r="F23" s="170"/>
      <c r="G23" s="21"/>
      <c r="H23" s="171"/>
      <c r="I23" s="21"/>
      <c r="J23" s="165"/>
      <c r="K23" s="166"/>
      <c r="L23" s="165"/>
      <c r="M23" s="151"/>
    </row>
    <row r="24" spans="1:13" ht="12.75" customHeight="1">
      <c r="A24" s="164"/>
      <c r="B24" s="167" t="s">
        <v>47</v>
      </c>
      <c r="C24" s="168" t="s">
        <v>48</v>
      </c>
      <c r="D24" s="168"/>
      <c r="E24" s="168"/>
      <c r="F24" s="168"/>
      <c r="G24" s="162"/>
      <c r="H24" s="161" t="s">
        <v>41</v>
      </c>
      <c r="I24" s="168">
        <v>0</v>
      </c>
      <c r="J24" s="165"/>
      <c r="K24" s="166"/>
      <c r="L24" s="165"/>
      <c r="M24" s="151"/>
    </row>
    <row r="25" spans="1:13" ht="12.75" customHeight="1">
      <c r="A25" s="164"/>
      <c r="B25" s="169"/>
      <c r="C25" s="170" t="s">
        <v>49</v>
      </c>
      <c r="D25" s="170"/>
      <c r="E25" s="170"/>
      <c r="F25" s="170"/>
      <c r="G25" s="21"/>
      <c r="H25" s="165"/>
      <c r="I25" s="166"/>
      <c r="J25" s="165"/>
      <c r="K25" s="166"/>
      <c r="L25" s="165"/>
      <c r="M25" s="151"/>
    </row>
    <row r="26" spans="1:13" ht="12.75" customHeight="1">
      <c r="A26" s="172"/>
      <c r="B26" s="23" t="s">
        <v>50</v>
      </c>
      <c r="C26" s="20" t="s">
        <v>51</v>
      </c>
      <c r="D26" s="20"/>
      <c r="E26" s="20"/>
      <c r="F26" s="20"/>
      <c r="G26" s="22"/>
      <c r="H26" s="171"/>
      <c r="I26" s="21"/>
      <c r="J26" s="165" t="s">
        <v>41</v>
      </c>
      <c r="K26" s="150">
        <f>I20+I21+I22+I24</f>
        <v>275116</v>
      </c>
      <c r="L26" s="171" t="s">
        <v>41</v>
      </c>
      <c r="M26" s="173">
        <f>K26</f>
        <v>275116</v>
      </c>
    </row>
    <row r="27" spans="1:13" ht="12.75" customHeight="1">
      <c r="A27" s="160">
        <v>2</v>
      </c>
      <c r="B27" s="24" t="s">
        <v>52</v>
      </c>
      <c r="C27" s="20"/>
      <c r="D27" s="20"/>
      <c r="E27" s="20"/>
      <c r="F27" s="20"/>
      <c r="G27" s="22"/>
      <c r="H27" s="24"/>
      <c r="I27" s="22"/>
      <c r="J27" s="161"/>
      <c r="K27" s="162"/>
      <c r="L27" s="161"/>
      <c r="M27" s="163"/>
    </row>
    <row r="28" spans="1:13" ht="12.75" customHeight="1">
      <c r="A28" s="164"/>
      <c r="B28" s="23" t="s">
        <v>42</v>
      </c>
      <c r="C28" s="24" t="s">
        <v>53</v>
      </c>
      <c r="D28" s="20"/>
      <c r="E28" s="20"/>
      <c r="F28" s="20"/>
      <c r="G28" s="22"/>
      <c r="H28" s="171" t="s">
        <v>41</v>
      </c>
      <c r="I28" s="174">
        <f>'Annexure-I'!K10</f>
        <v>20774</v>
      </c>
      <c r="J28" s="165"/>
      <c r="K28" s="166"/>
      <c r="L28" s="165"/>
      <c r="M28" s="151"/>
    </row>
    <row r="29" spans="1:13" ht="12.75" customHeight="1">
      <c r="A29" s="172"/>
      <c r="B29" s="23" t="s">
        <v>44</v>
      </c>
      <c r="C29" s="24" t="s">
        <v>54</v>
      </c>
      <c r="D29" s="20"/>
      <c r="E29" s="20"/>
      <c r="F29" s="20"/>
      <c r="G29" s="22"/>
      <c r="H29" s="24" t="s">
        <v>41</v>
      </c>
      <c r="I29" s="20">
        <f>'Salary Table'!G23</f>
        <v>0</v>
      </c>
      <c r="J29" s="171" t="s">
        <v>41</v>
      </c>
      <c r="K29" s="175">
        <f>I28+I29</f>
        <v>20774</v>
      </c>
      <c r="L29" s="165"/>
      <c r="M29" s="151"/>
    </row>
    <row r="30" spans="1:13" ht="12.75" customHeight="1">
      <c r="A30" s="176">
        <v>3</v>
      </c>
      <c r="B30" s="24" t="s">
        <v>55</v>
      </c>
      <c r="C30" s="20"/>
      <c r="D30" s="20"/>
      <c r="E30" s="20"/>
      <c r="F30" s="20"/>
      <c r="G30" s="22"/>
      <c r="H30" s="161"/>
      <c r="I30" s="162"/>
      <c r="J30" s="161"/>
      <c r="K30" s="162"/>
      <c r="L30" s="171" t="s">
        <v>41</v>
      </c>
      <c r="M30" s="177">
        <f>M26-K29</f>
        <v>254342</v>
      </c>
    </row>
    <row r="31" spans="1:13" ht="12.75" customHeight="1">
      <c r="A31" s="160">
        <v>4</v>
      </c>
      <c r="B31" s="24" t="s">
        <v>56</v>
      </c>
      <c r="C31" s="20"/>
      <c r="D31" s="20"/>
      <c r="E31" s="20"/>
      <c r="F31" s="20"/>
      <c r="G31" s="22"/>
      <c r="H31" s="171"/>
      <c r="I31" s="21"/>
      <c r="J31" s="165"/>
      <c r="K31" s="166"/>
      <c r="L31" s="161"/>
      <c r="M31" s="163"/>
    </row>
    <row r="32" spans="1:13" ht="12.75" customHeight="1">
      <c r="A32" s="164"/>
      <c r="B32" s="23" t="s">
        <v>42</v>
      </c>
      <c r="C32" s="24" t="s">
        <v>57</v>
      </c>
      <c r="D32" s="20"/>
      <c r="E32" s="20"/>
      <c r="F32" s="20"/>
      <c r="G32" s="22"/>
      <c r="H32" s="24" t="s">
        <v>41</v>
      </c>
      <c r="I32" s="20">
        <v>0</v>
      </c>
      <c r="J32" s="165"/>
      <c r="K32" s="166"/>
      <c r="L32" s="165"/>
      <c r="M32" s="151"/>
    </row>
    <row r="33" spans="1:13" ht="12.75" customHeight="1">
      <c r="A33" s="172"/>
      <c r="B33" s="23" t="s">
        <v>44</v>
      </c>
      <c r="C33" s="24" t="s">
        <v>58</v>
      </c>
      <c r="D33" s="20"/>
      <c r="E33" s="20"/>
      <c r="F33" s="20"/>
      <c r="G33" s="22"/>
      <c r="H33" s="24" t="s">
        <v>41</v>
      </c>
      <c r="I33" s="20">
        <f>'Salary Table'!N23</f>
        <v>2200</v>
      </c>
      <c r="J33" s="171"/>
      <c r="K33" s="21"/>
      <c r="L33" s="171"/>
      <c r="M33" s="173"/>
    </row>
    <row r="34" spans="1:13" ht="12.75" customHeight="1">
      <c r="A34" s="176">
        <v>5</v>
      </c>
      <c r="B34" s="24" t="s">
        <v>59</v>
      </c>
      <c r="C34" s="20"/>
      <c r="D34" s="20"/>
      <c r="E34" s="20"/>
      <c r="F34" s="20"/>
      <c r="G34" s="22"/>
      <c r="H34" s="161"/>
      <c r="I34" s="168"/>
      <c r="J34" s="161"/>
      <c r="K34" s="162"/>
      <c r="L34" s="24" t="s">
        <v>41</v>
      </c>
      <c r="M34" s="115">
        <f>I32+I33</f>
        <v>2200</v>
      </c>
    </row>
    <row r="35" spans="1:13" ht="12.75" customHeight="1">
      <c r="A35" s="176">
        <v>6</v>
      </c>
      <c r="B35" s="24" t="s">
        <v>60</v>
      </c>
      <c r="C35" s="20"/>
      <c r="D35" s="20"/>
      <c r="E35" s="20"/>
      <c r="F35" s="20"/>
      <c r="G35" s="22"/>
      <c r="H35" s="165"/>
      <c r="I35" s="150"/>
      <c r="J35" s="165"/>
      <c r="K35" s="166"/>
      <c r="L35" s="24" t="s">
        <v>41</v>
      </c>
      <c r="M35" s="178">
        <f>M30-M34</f>
        <v>252142</v>
      </c>
    </row>
    <row r="36" spans="1:13" ht="12.75" customHeight="1">
      <c r="A36" s="160">
        <v>7</v>
      </c>
      <c r="B36" s="24" t="s">
        <v>61</v>
      </c>
      <c r="C36" s="20"/>
      <c r="D36" s="20"/>
      <c r="E36" s="20"/>
      <c r="F36" s="20"/>
      <c r="G36" s="22"/>
      <c r="H36" s="165"/>
      <c r="I36" s="150"/>
      <c r="J36" s="165"/>
      <c r="K36" s="166"/>
      <c r="L36" s="24" t="s">
        <v>41</v>
      </c>
      <c r="M36" s="115">
        <v>0</v>
      </c>
    </row>
    <row r="37" spans="1:13" ht="12.75" customHeight="1">
      <c r="A37" s="164"/>
      <c r="B37" s="24" t="s">
        <v>62</v>
      </c>
      <c r="C37" s="20"/>
      <c r="D37" s="20"/>
      <c r="E37" s="20"/>
      <c r="F37" s="20"/>
      <c r="G37" s="22"/>
      <c r="H37" s="165"/>
      <c r="I37" s="150"/>
      <c r="J37" s="165"/>
      <c r="K37" s="166"/>
      <c r="L37" s="24" t="s">
        <v>41</v>
      </c>
      <c r="M37" s="115">
        <v>0</v>
      </c>
    </row>
    <row r="38" spans="1:13" ht="12.75" customHeight="1">
      <c r="A38" s="172"/>
      <c r="B38" s="24" t="s">
        <v>63</v>
      </c>
      <c r="C38" s="20"/>
      <c r="D38" s="20"/>
      <c r="E38" s="20"/>
      <c r="F38" s="20"/>
      <c r="G38" s="22"/>
      <c r="H38" s="165"/>
      <c r="I38" s="150"/>
      <c r="J38" s="165"/>
      <c r="K38" s="166"/>
      <c r="L38" s="24" t="s">
        <v>41</v>
      </c>
      <c r="M38" s="115">
        <f>IF('Data Entry Sheet'!D28&gt;=150000,150000,'Data Entry Sheet'!D28)</f>
        <v>0</v>
      </c>
    </row>
    <row r="39" spans="1:13" ht="12.75" customHeight="1">
      <c r="A39" s="176">
        <v>8</v>
      </c>
      <c r="B39" s="24" t="s">
        <v>64</v>
      </c>
      <c r="C39" s="20"/>
      <c r="D39" s="20"/>
      <c r="E39" s="20"/>
      <c r="F39" s="20"/>
      <c r="G39" s="22"/>
      <c r="H39" s="171"/>
      <c r="I39" s="170"/>
      <c r="J39" s="171"/>
      <c r="K39" s="21"/>
      <c r="L39" s="24" t="s">
        <v>41</v>
      </c>
      <c r="M39" s="178">
        <f>M35+M36+M37-M38</f>
        <v>252142</v>
      </c>
    </row>
    <row r="40" spans="1:13" ht="12.75" customHeight="1">
      <c r="A40" s="176">
        <v>9</v>
      </c>
      <c r="B40" s="24" t="s">
        <v>65</v>
      </c>
      <c r="C40" s="20"/>
      <c r="D40" s="20"/>
      <c r="E40" s="168"/>
      <c r="F40" s="168"/>
      <c r="G40" s="162"/>
      <c r="H40" s="161"/>
      <c r="I40" s="168"/>
      <c r="J40" s="168"/>
      <c r="K40" s="168"/>
      <c r="L40" s="20"/>
      <c r="M40" s="115"/>
    </row>
    <row r="41" spans="1:13" ht="12.75" customHeight="1">
      <c r="A41" s="160" t="s">
        <v>66</v>
      </c>
      <c r="B41" s="24" t="s">
        <v>67</v>
      </c>
      <c r="C41" s="20"/>
      <c r="D41" s="20"/>
      <c r="E41" s="285" t="s">
        <v>68</v>
      </c>
      <c r="F41" s="286"/>
      <c r="G41" s="287"/>
      <c r="H41" s="285" t="s">
        <v>69</v>
      </c>
      <c r="I41" s="287"/>
      <c r="J41" s="285" t="s">
        <v>70</v>
      </c>
      <c r="K41" s="287"/>
      <c r="L41" s="179"/>
      <c r="M41" s="180"/>
    </row>
    <row r="42" spans="1:13" ht="12.75" customHeight="1">
      <c r="A42" s="164"/>
      <c r="B42" s="23" t="s">
        <v>42</v>
      </c>
      <c r="C42" s="24" t="s">
        <v>71</v>
      </c>
      <c r="D42" s="20"/>
      <c r="E42" s="288" t="s">
        <v>35</v>
      </c>
      <c r="F42" s="289"/>
      <c r="G42" s="290"/>
      <c r="H42" s="288" t="s">
        <v>35</v>
      </c>
      <c r="I42" s="290"/>
      <c r="J42" s="288" t="s">
        <v>35</v>
      </c>
      <c r="K42" s="290"/>
      <c r="L42" s="181"/>
      <c r="M42" s="182"/>
    </row>
    <row r="43" spans="1:13" ht="12.75" customHeight="1">
      <c r="A43" s="164"/>
      <c r="B43" s="23" t="s">
        <v>72</v>
      </c>
      <c r="C43" s="24" t="s">
        <v>73</v>
      </c>
      <c r="D43" s="22"/>
      <c r="E43" s="171" t="s">
        <v>41</v>
      </c>
      <c r="F43" s="283">
        <f>'Salary Table'!K23</f>
        <v>25104</v>
      </c>
      <c r="G43" s="284"/>
      <c r="H43" s="171" t="s">
        <v>41</v>
      </c>
      <c r="I43" s="21">
        <f>F43</f>
        <v>25104</v>
      </c>
      <c r="J43" s="171" t="s">
        <v>41</v>
      </c>
      <c r="K43" s="21">
        <f>I43</f>
        <v>25104</v>
      </c>
      <c r="L43" s="165"/>
      <c r="M43" s="151"/>
    </row>
    <row r="44" spans="1:13" ht="12.75" customHeight="1">
      <c r="A44" s="164"/>
      <c r="B44" s="23" t="s">
        <v>74</v>
      </c>
      <c r="C44" s="24" t="s">
        <v>75</v>
      </c>
      <c r="D44" s="22"/>
      <c r="E44" s="24" t="s">
        <v>41</v>
      </c>
      <c r="F44" s="281">
        <f>'Salary Table'!L23</f>
        <v>6000</v>
      </c>
      <c r="G44" s="282"/>
      <c r="H44" s="24" t="s">
        <v>41</v>
      </c>
      <c r="I44" s="21">
        <f aca="true" t="shared" si="0" ref="I44:I56">F44</f>
        <v>6000</v>
      </c>
      <c r="J44" s="24" t="s">
        <v>41</v>
      </c>
      <c r="K44" s="21">
        <f aca="true" t="shared" si="1" ref="K44:K56">I44</f>
        <v>6000</v>
      </c>
      <c r="L44" s="165"/>
      <c r="M44" s="151"/>
    </row>
    <row r="45" spans="1:13" ht="12.75" customHeight="1">
      <c r="A45" s="164"/>
      <c r="B45" s="23" t="s">
        <v>76</v>
      </c>
      <c r="C45" s="24" t="s">
        <v>77</v>
      </c>
      <c r="D45" s="22"/>
      <c r="E45" s="24" t="s">
        <v>41</v>
      </c>
      <c r="F45" s="281">
        <f>'Salary Table'!M23</f>
        <v>360</v>
      </c>
      <c r="G45" s="282"/>
      <c r="H45" s="24" t="s">
        <v>41</v>
      </c>
      <c r="I45" s="21">
        <f t="shared" si="0"/>
        <v>360</v>
      </c>
      <c r="J45" s="24" t="s">
        <v>41</v>
      </c>
      <c r="K45" s="21">
        <f t="shared" si="1"/>
        <v>360</v>
      </c>
      <c r="L45" s="165"/>
      <c r="M45" s="151"/>
    </row>
    <row r="46" spans="1:13" ht="12.75" customHeight="1">
      <c r="A46" s="164"/>
      <c r="B46" s="23" t="s">
        <v>78</v>
      </c>
      <c r="C46" s="24" t="s">
        <v>79</v>
      </c>
      <c r="D46" s="22"/>
      <c r="E46" s="24" t="s">
        <v>41</v>
      </c>
      <c r="F46" s="281">
        <f>'Salary Table'!Q23</f>
        <v>25500</v>
      </c>
      <c r="G46" s="282"/>
      <c r="H46" s="24" t="s">
        <v>41</v>
      </c>
      <c r="I46" s="21">
        <f t="shared" si="0"/>
        <v>25500</v>
      </c>
      <c r="J46" s="24" t="s">
        <v>41</v>
      </c>
      <c r="K46" s="21">
        <f t="shared" si="1"/>
        <v>25500</v>
      </c>
      <c r="L46" s="165"/>
      <c r="M46" s="151"/>
    </row>
    <row r="47" spans="1:13" ht="12.75" customHeight="1">
      <c r="A47" s="164"/>
      <c r="B47" s="23" t="s">
        <v>80</v>
      </c>
      <c r="C47" s="24" t="s">
        <v>81</v>
      </c>
      <c r="D47" s="22"/>
      <c r="E47" s="24" t="s">
        <v>41</v>
      </c>
      <c r="F47" s="281">
        <f>'Salary Table'!U23</f>
        <v>0</v>
      </c>
      <c r="G47" s="282"/>
      <c r="H47" s="24" t="s">
        <v>41</v>
      </c>
      <c r="I47" s="21">
        <f t="shared" si="0"/>
        <v>0</v>
      </c>
      <c r="J47" s="24" t="s">
        <v>41</v>
      </c>
      <c r="K47" s="21">
        <f t="shared" si="1"/>
        <v>0</v>
      </c>
      <c r="L47" s="165"/>
      <c r="M47" s="151"/>
    </row>
    <row r="48" spans="1:13" ht="12.75" customHeight="1">
      <c r="A48" s="164"/>
      <c r="B48" s="23" t="s">
        <v>82</v>
      </c>
      <c r="C48" s="278" t="s">
        <v>83</v>
      </c>
      <c r="D48" s="280"/>
      <c r="E48" s="24" t="s">
        <v>41</v>
      </c>
      <c r="F48" s="281">
        <f>'Salary Table'!R23</f>
        <v>0</v>
      </c>
      <c r="G48" s="282"/>
      <c r="H48" s="24" t="s">
        <v>41</v>
      </c>
      <c r="I48" s="21">
        <f t="shared" si="0"/>
        <v>0</v>
      </c>
      <c r="J48" s="24" t="s">
        <v>41</v>
      </c>
      <c r="K48" s="21">
        <f t="shared" si="1"/>
        <v>0</v>
      </c>
      <c r="L48" s="165"/>
      <c r="M48" s="151"/>
    </row>
    <row r="49" spans="1:13" ht="12.75" customHeight="1">
      <c r="A49" s="164"/>
      <c r="B49" s="23" t="s">
        <v>84</v>
      </c>
      <c r="C49" s="278" t="s">
        <v>85</v>
      </c>
      <c r="D49" s="280"/>
      <c r="E49" s="24" t="s">
        <v>41</v>
      </c>
      <c r="F49" s="281">
        <f>'Salary Table'!T23</f>
        <v>0</v>
      </c>
      <c r="G49" s="282"/>
      <c r="H49" s="24" t="s">
        <v>41</v>
      </c>
      <c r="I49" s="21">
        <f t="shared" si="0"/>
        <v>0</v>
      </c>
      <c r="J49" s="24" t="s">
        <v>41</v>
      </c>
      <c r="K49" s="21">
        <f t="shared" si="1"/>
        <v>0</v>
      </c>
      <c r="L49" s="165"/>
      <c r="M49" s="151"/>
    </row>
    <row r="50" spans="1:13" ht="12.75" customHeight="1">
      <c r="A50" s="164"/>
      <c r="B50" s="23" t="s">
        <v>86</v>
      </c>
      <c r="C50" s="278" t="s">
        <v>87</v>
      </c>
      <c r="D50" s="280"/>
      <c r="E50" s="24" t="s">
        <v>41</v>
      </c>
      <c r="F50" s="281">
        <f>'Salary Table'!S23</f>
        <v>0</v>
      </c>
      <c r="G50" s="282"/>
      <c r="H50" s="24" t="s">
        <v>41</v>
      </c>
      <c r="I50" s="21">
        <f t="shared" si="0"/>
        <v>0</v>
      </c>
      <c r="J50" s="24" t="s">
        <v>41</v>
      </c>
      <c r="K50" s="21">
        <f t="shared" si="1"/>
        <v>0</v>
      </c>
      <c r="L50" s="165"/>
      <c r="M50" s="151"/>
    </row>
    <row r="51" spans="1:13" ht="12.75" customHeight="1">
      <c r="A51" s="164"/>
      <c r="B51" s="23" t="s">
        <v>88</v>
      </c>
      <c r="C51" s="24" t="s">
        <v>89</v>
      </c>
      <c r="D51" s="22"/>
      <c r="E51" s="24" t="s">
        <v>41</v>
      </c>
      <c r="F51" s="281">
        <f>'Data Entry Sheet'!D29</f>
        <v>0</v>
      </c>
      <c r="G51" s="282"/>
      <c r="H51" s="24" t="s">
        <v>41</v>
      </c>
      <c r="I51" s="21">
        <f t="shared" si="0"/>
        <v>0</v>
      </c>
      <c r="J51" s="24" t="s">
        <v>41</v>
      </c>
      <c r="K51" s="21">
        <f t="shared" si="1"/>
        <v>0</v>
      </c>
      <c r="L51" s="165"/>
      <c r="M51" s="151"/>
    </row>
    <row r="52" spans="1:13" ht="12.75" customHeight="1">
      <c r="A52" s="164"/>
      <c r="B52" s="167" t="s">
        <v>90</v>
      </c>
      <c r="C52" s="161" t="s">
        <v>91</v>
      </c>
      <c r="D52" s="162"/>
      <c r="E52" s="24" t="s">
        <v>41</v>
      </c>
      <c r="F52" s="281">
        <f>'Data Entry Sheet'!D31</f>
        <v>0</v>
      </c>
      <c r="G52" s="282"/>
      <c r="H52" s="161" t="s">
        <v>41</v>
      </c>
      <c r="I52" s="21">
        <f t="shared" si="0"/>
        <v>0</v>
      </c>
      <c r="J52" s="24" t="s">
        <v>41</v>
      </c>
      <c r="K52" s="21">
        <f t="shared" si="1"/>
        <v>0</v>
      </c>
      <c r="L52" s="171"/>
      <c r="M52" s="173"/>
    </row>
    <row r="53" spans="1:13" ht="12.75" customHeight="1">
      <c r="A53" s="164"/>
      <c r="B53" s="161" t="s">
        <v>92</v>
      </c>
      <c r="C53" s="278" t="s">
        <v>93</v>
      </c>
      <c r="D53" s="279"/>
      <c r="E53" s="24" t="s">
        <v>41</v>
      </c>
      <c r="F53" s="269"/>
      <c r="G53" s="270"/>
      <c r="H53" s="168" t="s">
        <v>41</v>
      </c>
      <c r="I53" s="21">
        <f t="shared" si="0"/>
        <v>0</v>
      </c>
      <c r="J53" s="20" t="s">
        <v>41</v>
      </c>
      <c r="K53" s="21">
        <f t="shared" si="1"/>
        <v>0</v>
      </c>
      <c r="L53" s="171"/>
      <c r="M53" s="173"/>
    </row>
    <row r="54" spans="1:13" ht="12.75" customHeight="1">
      <c r="A54" s="164"/>
      <c r="B54" s="167" t="s">
        <v>94</v>
      </c>
      <c r="C54" s="183" t="s">
        <v>95</v>
      </c>
      <c r="D54" s="183"/>
      <c r="E54" s="24" t="s">
        <v>41</v>
      </c>
      <c r="F54" s="269"/>
      <c r="G54" s="270"/>
      <c r="H54" s="168" t="s">
        <v>41</v>
      </c>
      <c r="I54" s="21">
        <f t="shared" si="0"/>
        <v>0</v>
      </c>
      <c r="J54" s="20" t="s">
        <v>41</v>
      </c>
      <c r="K54" s="21">
        <f t="shared" si="1"/>
        <v>0</v>
      </c>
      <c r="L54" s="171"/>
      <c r="M54" s="173"/>
    </row>
    <row r="55" spans="1:13" ht="12.75" customHeight="1">
      <c r="A55" s="164"/>
      <c r="B55" s="167" t="s">
        <v>96</v>
      </c>
      <c r="C55" s="184" t="s">
        <v>411</v>
      </c>
      <c r="D55" s="185"/>
      <c r="E55" s="24" t="s">
        <v>41</v>
      </c>
      <c r="F55" s="269"/>
      <c r="G55" s="270"/>
      <c r="H55" s="168" t="s">
        <v>41</v>
      </c>
      <c r="I55" s="21">
        <f t="shared" si="0"/>
        <v>0</v>
      </c>
      <c r="J55" s="20" t="s">
        <v>41</v>
      </c>
      <c r="K55" s="21">
        <f t="shared" si="1"/>
        <v>0</v>
      </c>
      <c r="L55" s="171"/>
      <c r="M55" s="173"/>
    </row>
    <row r="56" spans="1:13" ht="12.75" customHeight="1">
      <c r="A56" s="164"/>
      <c r="B56" s="23" t="s">
        <v>97</v>
      </c>
      <c r="C56" s="183"/>
      <c r="D56" s="183"/>
      <c r="E56" s="24" t="s">
        <v>41</v>
      </c>
      <c r="F56" s="269"/>
      <c r="G56" s="270"/>
      <c r="H56" s="168" t="s">
        <v>41</v>
      </c>
      <c r="I56" s="21">
        <f t="shared" si="0"/>
        <v>0</v>
      </c>
      <c r="J56" s="20" t="s">
        <v>41</v>
      </c>
      <c r="K56" s="21">
        <f t="shared" si="1"/>
        <v>0</v>
      </c>
      <c r="L56" s="171"/>
      <c r="M56" s="173"/>
    </row>
    <row r="57" spans="1:13" ht="12.75" customHeight="1">
      <c r="A57" s="164"/>
      <c r="B57" s="24"/>
      <c r="C57" s="20"/>
      <c r="D57" s="20"/>
      <c r="E57" s="20"/>
      <c r="F57" s="20"/>
      <c r="G57" s="20"/>
      <c r="H57" s="20" t="s">
        <v>98</v>
      </c>
      <c r="I57" s="22"/>
      <c r="J57" s="20"/>
      <c r="K57" s="22"/>
      <c r="L57" s="24" t="s">
        <v>41</v>
      </c>
      <c r="M57" s="115">
        <f>SUM(K43:K56)</f>
        <v>56964</v>
      </c>
    </row>
    <row r="58" spans="1:13" ht="12.75" customHeight="1">
      <c r="A58" s="164"/>
      <c r="B58" s="23" t="s">
        <v>44</v>
      </c>
      <c r="C58" s="20" t="s">
        <v>99</v>
      </c>
      <c r="D58" s="22"/>
      <c r="E58" s="271"/>
      <c r="F58" s="272"/>
      <c r="G58" s="272"/>
      <c r="H58" s="272"/>
      <c r="I58" s="272"/>
      <c r="J58" s="272"/>
      <c r="K58" s="272"/>
      <c r="L58" s="272"/>
      <c r="M58" s="273"/>
    </row>
    <row r="59" spans="1:13" ht="12.75" customHeight="1">
      <c r="A59" s="164"/>
      <c r="B59" s="167" t="s">
        <v>72</v>
      </c>
      <c r="C59" s="150" t="s">
        <v>100</v>
      </c>
      <c r="D59" s="150"/>
      <c r="E59" s="24" t="s">
        <v>41</v>
      </c>
      <c r="F59" s="269"/>
      <c r="G59" s="270"/>
      <c r="H59" s="24" t="s">
        <v>41</v>
      </c>
      <c r="I59" s="22">
        <f>F59</f>
        <v>0</v>
      </c>
      <c r="J59" s="24" t="s">
        <v>41</v>
      </c>
      <c r="K59" s="20">
        <f>I59</f>
        <v>0</v>
      </c>
      <c r="L59" s="24" t="s">
        <v>41</v>
      </c>
      <c r="M59" s="115">
        <f>K59</f>
        <v>0</v>
      </c>
    </row>
    <row r="60" spans="1:13" ht="12.75" customHeight="1">
      <c r="A60" s="164"/>
      <c r="B60" s="24" t="s">
        <v>47</v>
      </c>
      <c r="C60" s="20" t="s">
        <v>101</v>
      </c>
      <c r="D60" s="22"/>
      <c r="E60" s="271"/>
      <c r="F60" s="272"/>
      <c r="G60" s="272"/>
      <c r="H60" s="272"/>
      <c r="I60" s="272"/>
      <c r="J60" s="272"/>
      <c r="K60" s="272"/>
      <c r="L60" s="272"/>
      <c r="M60" s="273"/>
    </row>
    <row r="61" spans="1:13" ht="12.75" customHeight="1">
      <c r="A61" s="164"/>
      <c r="B61" s="167" t="s">
        <v>72</v>
      </c>
      <c r="C61" s="168" t="s">
        <v>102</v>
      </c>
      <c r="D61" s="162"/>
      <c r="E61" s="24" t="s">
        <v>41</v>
      </c>
      <c r="F61" s="20">
        <f>'Salary Table'!P23</f>
        <v>0</v>
      </c>
      <c r="G61" s="22"/>
      <c r="H61" s="161" t="s">
        <v>41</v>
      </c>
      <c r="I61" s="162">
        <f>F61</f>
        <v>0</v>
      </c>
      <c r="J61" s="161" t="s">
        <v>41</v>
      </c>
      <c r="K61" s="168">
        <f>I61</f>
        <v>0</v>
      </c>
      <c r="L61" s="24" t="s">
        <v>41</v>
      </c>
      <c r="M61" s="115">
        <f>K61</f>
        <v>0</v>
      </c>
    </row>
    <row r="62" spans="1:13" ht="12.75" customHeight="1">
      <c r="A62" s="164"/>
      <c r="B62" s="24" t="s">
        <v>103</v>
      </c>
      <c r="C62" s="20"/>
      <c r="D62" s="20"/>
      <c r="E62" s="20"/>
      <c r="F62" s="20"/>
      <c r="G62" s="20"/>
      <c r="H62" s="20"/>
      <c r="I62" s="20"/>
      <c r="J62" s="20"/>
      <c r="K62" s="22"/>
      <c r="L62" s="24" t="s">
        <v>41</v>
      </c>
      <c r="M62" s="115">
        <f>IF((M57+M59+M61)&gt;100000,"100000",(M57+M59+M61))</f>
        <v>56964</v>
      </c>
    </row>
    <row r="63" spans="1:13" ht="12.75" customHeight="1">
      <c r="A63" s="149"/>
      <c r="B63" s="23" t="s">
        <v>50</v>
      </c>
      <c r="C63" s="274" t="s">
        <v>417</v>
      </c>
      <c r="D63" s="274"/>
      <c r="E63" s="24" t="s">
        <v>41</v>
      </c>
      <c r="F63" s="20"/>
      <c r="G63" s="22"/>
      <c r="H63" s="24" t="s">
        <v>41</v>
      </c>
      <c r="I63" s="22">
        <f>IF(F63&gt;50000,50000,F63)</f>
        <v>0</v>
      </c>
      <c r="J63" s="24" t="s">
        <v>41</v>
      </c>
      <c r="K63" s="22">
        <f>ROUND(I63/2,0)</f>
        <v>0</v>
      </c>
      <c r="L63" s="24" t="s">
        <v>41</v>
      </c>
      <c r="M63" s="115">
        <f>K63</f>
        <v>0</v>
      </c>
    </row>
    <row r="64" spans="1:13" ht="12.75" customHeight="1">
      <c r="A64" s="149"/>
      <c r="B64" s="275" t="s">
        <v>418</v>
      </c>
      <c r="C64" s="276"/>
      <c r="D64" s="276"/>
      <c r="E64" s="276"/>
      <c r="F64" s="276"/>
      <c r="G64" s="276"/>
      <c r="H64" s="276"/>
      <c r="I64" s="276"/>
      <c r="J64" s="276"/>
      <c r="K64" s="277"/>
      <c r="L64" s="186" t="s">
        <v>41</v>
      </c>
      <c r="M64" s="173">
        <f>M62+M63</f>
        <v>56964</v>
      </c>
    </row>
    <row r="65" spans="1:13" ht="12.75" customHeight="1">
      <c r="A65" s="149" t="s">
        <v>104</v>
      </c>
      <c r="B65" s="150"/>
      <c r="C65" s="150" t="s">
        <v>105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1"/>
    </row>
    <row r="66" spans="1:13" ht="12.75" customHeight="1" thickBot="1">
      <c r="A66" s="187"/>
      <c r="B66" s="188"/>
      <c r="C66" s="188" t="s">
        <v>106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9"/>
    </row>
    <row r="67" ht="15.75" thickTop="1"/>
  </sheetData>
  <sheetProtection password="C71F" sheet="1"/>
  <mergeCells count="71">
    <mergeCell ref="L16:M17"/>
    <mergeCell ref="A1:M1"/>
    <mergeCell ref="A2:M2"/>
    <mergeCell ref="A4:F4"/>
    <mergeCell ref="G4:M4"/>
    <mergeCell ref="A5:F5"/>
    <mergeCell ref="G5:M5"/>
    <mergeCell ref="A6:F6"/>
    <mergeCell ref="G6:M6"/>
    <mergeCell ref="A7:F7"/>
    <mergeCell ref="G7:M7"/>
    <mergeCell ref="A8:F8"/>
    <mergeCell ref="G8:M8"/>
    <mergeCell ref="A10:C10"/>
    <mergeCell ref="D10:F10"/>
    <mergeCell ref="K10:M10"/>
    <mergeCell ref="A11:C11"/>
    <mergeCell ref="D11:F11"/>
    <mergeCell ref="G11:J11"/>
    <mergeCell ref="K11:M11"/>
    <mergeCell ref="A12:M12"/>
    <mergeCell ref="A13:C13"/>
    <mergeCell ref="D13:E13"/>
    <mergeCell ref="F13:G13"/>
    <mergeCell ref="H13:K13"/>
    <mergeCell ref="L13:M15"/>
    <mergeCell ref="A14:C14"/>
    <mergeCell ref="D14:E14"/>
    <mergeCell ref="F14:G14"/>
    <mergeCell ref="H14:I15"/>
    <mergeCell ref="J14:K15"/>
    <mergeCell ref="A15:C15"/>
    <mergeCell ref="D15:E15"/>
    <mergeCell ref="F15:G15"/>
    <mergeCell ref="H16:I17"/>
    <mergeCell ref="J16:K17"/>
    <mergeCell ref="A16:C16"/>
    <mergeCell ref="D16:E16"/>
    <mergeCell ref="F16:G16"/>
    <mergeCell ref="A17:C17"/>
    <mergeCell ref="D17:E17"/>
    <mergeCell ref="F17:G17"/>
    <mergeCell ref="E41:G41"/>
    <mergeCell ref="H41:I41"/>
    <mergeCell ref="J41:K41"/>
    <mergeCell ref="E42:G42"/>
    <mergeCell ref="H42:I42"/>
    <mergeCell ref="J42:K42"/>
    <mergeCell ref="F43:G43"/>
    <mergeCell ref="F44:G44"/>
    <mergeCell ref="F45:G45"/>
    <mergeCell ref="F46:G46"/>
    <mergeCell ref="F47:G47"/>
    <mergeCell ref="C48:D48"/>
    <mergeCell ref="F48:G48"/>
    <mergeCell ref="C49:D49"/>
    <mergeCell ref="F49:G49"/>
    <mergeCell ref="C50:D50"/>
    <mergeCell ref="F50:G50"/>
    <mergeCell ref="F51:G51"/>
    <mergeCell ref="F52:G52"/>
    <mergeCell ref="F59:G59"/>
    <mergeCell ref="E60:M60"/>
    <mergeCell ref="C63:D63"/>
    <mergeCell ref="B64:K64"/>
    <mergeCell ref="C53:D53"/>
    <mergeCell ref="F53:G53"/>
    <mergeCell ref="F54:G54"/>
    <mergeCell ref="F55:G55"/>
    <mergeCell ref="F56:G56"/>
    <mergeCell ref="E58:M58"/>
  </mergeCells>
  <printOptions horizontalCentered="1" verticalCentered="1"/>
  <pageMargins left="0.2362204724409449" right="0.1968503937007874" top="0.2362204724409449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7030A0"/>
  </sheetPr>
  <dimension ref="A1:EA66"/>
  <sheetViews>
    <sheetView zoomScalePageLayoutView="0" workbookViewId="0" topLeftCell="A1">
      <selection activeCell="A39" sqref="A39:L44"/>
    </sheetView>
  </sheetViews>
  <sheetFormatPr defaultColWidth="9.140625" defaultRowHeight="15"/>
  <cols>
    <col min="1" max="1" width="2.8515625" style="147" customWidth="1"/>
    <col min="2" max="2" width="6.28125" style="147" customWidth="1"/>
    <col min="3" max="3" width="0.5625" style="147" customWidth="1"/>
    <col min="4" max="4" width="15.140625" style="147" customWidth="1"/>
    <col min="5" max="5" width="16.7109375" style="147" customWidth="1"/>
    <col min="6" max="6" width="9.140625" style="147" customWidth="1"/>
    <col min="7" max="7" width="3.28125" style="147" customWidth="1"/>
    <col min="8" max="8" width="6.8515625" style="147" customWidth="1"/>
    <col min="9" max="9" width="9.8515625" style="147" customWidth="1"/>
    <col min="10" max="10" width="10.28125" style="147" customWidth="1"/>
    <col min="11" max="11" width="3.00390625" style="147" customWidth="1"/>
    <col min="12" max="12" width="12.28125" style="147" customWidth="1"/>
    <col min="13" max="95" width="10.421875" style="147" hidden="1" customWidth="1"/>
    <col min="96" max="118" width="0.13671875" style="147" hidden="1" customWidth="1"/>
    <col min="119" max="119" width="5.57421875" style="147" hidden="1" customWidth="1"/>
    <col min="120" max="120" width="12.8515625" style="147" hidden="1" customWidth="1"/>
    <col min="121" max="121" width="15.8515625" style="147" hidden="1" customWidth="1"/>
    <col min="122" max="122" width="41.7109375" style="147" hidden="1" customWidth="1"/>
    <col min="123" max="123" width="0.13671875" style="147" customWidth="1"/>
    <col min="124" max="125" width="9.140625" style="147" customWidth="1"/>
    <col min="126" max="126" width="9.00390625" style="147" customWidth="1"/>
    <col min="127" max="127" width="16.7109375" style="147" hidden="1" customWidth="1"/>
    <col min="128" max="128" width="255.7109375" style="147" hidden="1" customWidth="1"/>
    <col min="129" max="130" width="9.140625" style="147" hidden="1" customWidth="1"/>
    <col min="131" max="131" width="29.140625" style="147" hidden="1" customWidth="1"/>
    <col min="132" max="134" width="9.140625" style="147" hidden="1" customWidth="1"/>
    <col min="135" max="143" width="9.140625" style="147" customWidth="1"/>
    <col min="144" max="16384" width="9.140625" style="147" customWidth="1"/>
  </cols>
  <sheetData>
    <row r="1" spans="1:12" ht="18.75" customHeight="1" thickTop="1">
      <c r="A1" s="190" t="s">
        <v>107</v>
      </c>
      <c r="B1" s="191" t="s">
        <v>108</v>
      </c>
      <c r="C1" s="192"/>
      <c r="D1" s="192"/>
      <c r="E1" s="192"/>
      <c r="F1" s="193"/>
      <c r="G1" s="194" t="s">
        <v>68</v>
      </c>
      <c r="H1" s="194"/>
      <c r="I1" s="194" t="s">
        <v>69</v>
      </c>
      <c r="J1" s="194" t="s">
        <v>70</v>
      </c>
      <c r="K1" s="191"/>
      <c r="L1" s="195"/>
    </row>
    <row r="2" spans="1:12" ht="16.5" customHeight="1">
      <c r="A2" s="164"/>
      <c r="B2" s="170" t="s">
        <v>109</v>
      </c>
      <c r="C2" s="170"/>
      <c r="D2" s="170"/>
      <c r="E2" s="170"/>
      <c r="F2" s="21"/>
      <c r="G2" s="169" t="s">
        <v>35</v>
      </c>
      <c r="H2" s="169"/>
      <c r="I2" s="169" t="s">
        <v>35</v>
      </c>
      <c r="J2" s="169" t="s">
        <v>35</v>
      </c>
      <c r="K2" s="165"/>
      <c r="L2" s="151"/>
    </row>
    <row r="3" spans="1:12" ht="16.5" customHeight="1">
      <c r="A3" s="164"/>
      <c r="B3" s="23" t="s">
        <v>110</v>
      </c>
      <c r="C3" s="20"/>
      <c r="D3" s="20" t="s">
        <v>111</v>
      </c>
      <c r="E3" s="20"/>
      <c r="F3" s="20"/>
      <c r="G3" s="24" t="s">
        <v>41</v>
      </c>
      <c r="H3" s="22">
        <f>'Salary Table'!O23</f>
        <v>40</v>
      </c>
      <c r="I3" s="169">
        <f>H3</f>
        <v>40</v>
      </c>
      <c r="J3" s="171">
        <f>I3</f>
        <v>40</v>
      </c>
      <c r="K3" s="165"/>
      <c r="L3" s="151"/>
    </row>
    <row r="4" spans="1:12" ht="16.5" customHeight="1">
      <c r="A4" s="164"/>
      <c r="B4" s="23" t="s">
        <v>112</v>
      </c>
      <c r="C4" s="358" t="s">
        <v>372</v>
      </c>
      <c r="D4" s="359"/>
      <c r="E4" s="359"/>
      <c r="F4" s="360"/>
      <c r="G4" s="171" t="s">
        <v>41</v>
      </c>
      <c r="H4" s="19"/>
      <c r="I4" s="23">
        <f>IF(H4&gt;15000,15000,H4)</f>
        <v>0</v>
      </c>
      <c r="J4" s="24">
        <f>I4</f>
        <v>0</v>
      </c>
      <c r="K4" s="165"/>
      <c r="L4" s="151"/>
    </row>
    <row r="5" spans="1:12" ht="16.5" customHeight="1">
      <c r="A5" s="164"/>
      <c r="B5" s="23" t="s">
        <v>112</v>
      </c>
      <c r="C5" s="358" t="s">
        <v>373</v>
      </c>
      <c r="D5" s="359"/>
      <c r="E5" s="359"/>
      <c r="F5" s="360"/>
      <c r="G5" s="171" t="s">
        <v>41</v>
      </c>
      <c r="H5" s="19"/>
      <c r="I5" s="23">
        <f>IF(H5&gt;20000,20000,H5)</f>
        <v>0</v>
      </c>
      <c r="J5" s="24">
        <f>I5</f>
        <v>0</v>
      </c>
      <c r="K5" s="165"/>
      <c r="L5" s="151"/>
    </row>
    <row r="6" spans="1:12" ht="16.5" customHeight="1">
      <c r="A6" s="164"/>
      <c r="B6" s="23" t="s">
        <v>113</v>
      </c>
      <c r="C6" s="358" t="s">
        <v>114</v>
      </c>
      <c r="D6" s="359"/>
      <c r="E6" s="359"/>
      <c r="F6" s="360"/>
      <c r="G6" s="24" t="s">
        <v>41</v>
      </c>
      <c r="H6" s="25"/>
      <c r="I6" s="23">
        <v>0</v>
      </c>
      <c r="J6" s="24">
        <v>0</v>
      </c>
      <c r="K6" s="165"/>
      <c r="L6" s="151"/>
    </row>
    <row r="7" spans="1:15" ht="16.5" customHeight="1">
      <c r="A7" s="164"/>
      <c r="B7" s="23" t="s">
        <v>110</v>
      </c>
      <c r="C7" s="358" t="s">
        <v>115</v>
      </c>
      <c r="D7" s="359"/>
      <c r="E7" s="359"/>
      <c r="F7" s="360"/>
      <c r="G7" s="24" t="s">
        <v>41</v>
      </c>
      <c r="H7" s="25"/>
      <c r="I7" s="23">
        <v>0</v>
      </c>
      <c r="J7" s="24">
        <v>0</v>
      </c>
      <c r="K7" s="165"/>
      <c r="L7" s="151"/>
      <c r="O7" s="196"/>
    </row>
    <row r="8" spans="1:15" ht="16.5" customHeight="1">
      <c r="A8" s="164"/>
      <c r="B8" s="23" t="s">
        <v>116</v>
      </c>
      <c r="C8" s="358" t="s">
        <v>377</v>
      </c>
      <c r="D8" s="359"/>
      <c r="E8" s="359"/>
      <c r="F8" s="360"/>
      <c r="G8" s="24" t="s">
        <v>41</v>
      </c>
      <c r="H8" s="25"/>
      <c r="I8" s="23">
        <f>IF(AND('Data Entry Sheet'!T16=TRUE,'Form-16 back'!H8&gt;=50000),50000,IF(AND('Data Entry Sheet'!U17=TRUE,'Form-16 back'!H8&gt;=100000),100000,H8))</f>
        <v>0</v>
      </c>
      <c r="J8" s="24">
        <f>I8</f>
        <v>0</v>
      </c>
      <c r="K8" s="165"/>
      <c r="L8" s="151"/>
      <c r="O8" s="197"/>
    </row>
    <row r="9" spans="1:15" ht="16.5" customHeight="1">
      <c r="A9" s="164"/>
      <c r="B9" s="23" t="s">
        <v>117</v>
      </c>
      <c r="C9" s="278" t="s">
        <v>118</v>
      </c>
      <c r="D9" s="279"/>
      <c r="E9" s="279"/>
      <c r="F9" s="280"/>
      <c r="G9" s="24" t="s">
        <v>41</v>
      </c>
      <c r="H9" s="22">
        <f>'Data Entry Sheet'!D30</f>
        <v>0</v>
      </c>
      <c r="I9" s="23">
        <f>H9</f>
        <v>0</v>
      </c>
      <c r="J9" s="24">
        <f>I9</f>
        <v>0</v>
      </c>
      <c r="K9" s="165"/>
      <c r="L9" s="151"/>
      <c r="O9" s="197"/>
    </row>
    <row r="10" spans="1:16" ht="16.5" customHeight="1">
      <c r="A10" s="164"/>
      <c r="B10" s="23"/>
      <c r="C10" s="294" t="s">
        <v>7</v>
      </c>
      <c r="D10" s="281"/>
      <c r="E10" s="281"/>
      <c r="F10" s="282"/>
      <c r="G10" s="24" t="s">
        <v>41</v>
      </c>
      <c r="H10" s="22">
        <v>0</v>
      </c>
      <c r="I10" s="23">
        <f>H10</f>
        <v>0</v>
      </c>
      <c r="J10" s="24">
        <f>H10</f>
        <v>0</v>
      </c>
      <c r="K10" s="171"/>
      <c r="L10" s="173"/>
      <c r="P10" s="147">
        <v>1</v>
      </c>
    </row>
    <row r="11" spans="1:12" ht="16.5" customHeight="1">
      <c r="A11" s="172"/>
      <c r="B11" s="353" t="s">
        <v>120</v>
      </c>
      <c r="C11" s="354"/>
      <c r="D11" s="354"/>
      <c r="E11" s="354"/>
      <c r="F11" s="354"/>
      <c r="G11" s="354"/>
      <c r="H11" s="354"/>
      <c r="I11" s="354"/>
      <c r="J11" s="355"/>
      <c r="K11" s="24" t="s">
        <v>41</v>
      </c>
      <c r="L11" s="115">
        <f>SUM(J3:J10)</f>
        <v>40</v>
      </c>
    </row>
    <row r="12" spans="1:12" ht="16.5" customHeight="1">
      <c r="A12" s="176">
        <v>10</v>
      </c>
      <c r="B12" s="23" t="s">
        <v>121</v>
      </c>
      <c r="C12" s="23"/>
      <c r="D12" s="23"/>
      <c r="E12" s="23"/>
      <c r="F12" s="23"/>
      <c r="G12" s="24"/>
      <c r="H12" s="20"/>
      <c r="I12" s="20"/>
      <c r="J12" s="22"/>
      <c r="K12" s="24" t="s">
        <v>41</v>
      </c>
      <c r="L12" s="115">
        <f>'Form-16 Front'!M64+L11</f>
        <v>57004</v>
      </c>
    </row>
    <row r="13" spans="1:12" ht="16.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24"/>
      <c r="L13" s="115"/>
    </row>
    <row r="14" spans="1:14" ht="16.5" customHeight="1">
      <c r="A14" s="176">
        <v>11</v>
      </c>
      <c r="B14" s="20" t="s">
        <v>122</v>
      </c>
      <c r="C14" s="20"/>
      <c r="D14" s="20"/>
      <c r="E14" s="20"/>
      <c r="F14" s="20"/>
      <c r="G14" s="20"/>
      <c r="H14" s="20"/>
      <c r="I14" s="20"/>
      <c r="J14" s="22"/>
      <c r="K14" s="24" t="s">
        <v>41</v>
      </c>
      <c r="L14" s="178">
        <f>'Form-16 Front'!M39-'Form-16 back'!L12</f>
        <v>195138</v>
      </c>
      <c r="N14" s="147">
        <v>-3883</v>
      </c>
    </row>
    <row r="15" spans="1:14" ht="16.5" customHeight="1">
      <c r="A15" s="176">
        <v>12</v>
      </c>
      <c r="B15" s="20" t="s">
        <v>123</v>
      </c>
      <c r="C15" s="20"/>
      <c r="D15" s="20"/>
      <c r="E15" s="20"/>
      <c r="F15" s="20"/>
      <c r="G15" s="20"/>
      <c r="H15" s="20"/>
      <c r="I15" s="20"/>
      <c r="J15" s="22"/>
      <c r="K15" s="24" t="s">
        <v>41</v>
      </c>
      <c r="L15" s="198">
        <f>'Annexure-I'!K46+'Annexure-I'!K47+'Annexure-I'!K48+'Annexure-I'!K49</f>
        <v>0</v>
      </c>
      <c r="N15" s="147">
        <v>-388</v>
      </c>
    </row>
    <row r="16" spans="1:12" ht="16.5" customHeight="1">
      <c r="A16" s="176">
        <v>13</v>
      </c>
      <c r="B16" s="20" t="s">
        <v>124</v>
      </c>
      <c r="C16" s="20"/>
      <c r="D16" s="20"/>
      <c r="E16" s="20"/>
      <c r="F16" s="20"/>
      <c r="G16" s="20"/>
      <c r="H16" s="20"/>
      <c r="I16" s="20"/>
      <c r="J16" s="22"/>
      <c r="K16" s="24" t="s">
        <v>41</v>
      </c>
      <c r="L16" s="178">
        <f>'Annexure-I'!K50</f>
        <v>0</v>
      </c>
    </row>
    <row r="17" spans="1:12" ht="16.5" customHeight="1">
      <c r="A17" s="176">
        <v>14</v>
      </c>
      <c r="B17" s="20" t="s">
        <v>125</v>
      </c>
      <c r="C17" s="20"/>
      <c r="D17" s="20"/>
      <c r="E17" s="20"/>
      <c r="F17" s="20"/>
      <c r="G17" s="20"/>
      <c r="H17" s="20"/>
      <c r="I17" s="20"/>
      <c r="J17" s="22"/>
      <c r="K17" s="24" t="s">
        <v>41</v>
      </c>
      <c r="L17" s="178">
        <f>'Annexure-I'!K51</f>
        <v>0</v>
      </c>
    </row>
    <row r="18" spans="1:12" ht="16.5" customHeight="1">
      <c r="A18" s="176">
        <v>15</v>
      </c>
      <c r="B18" s="20" t="s">
        <v>126</v>
      </c>
      <c r="C18" s="20"/>
      <c r="D18" s="20"/>
      <c r="E18" s="20"/>
      <c r="F18" s="20"/>
      <c r="G18" s="20"/>
      <c r="H18" s="20"/>
      <c r="I18" s="20"/>
      <c r="J18" s="22"/>
      <c r="K18" s="24" t="s">
        <v>41</v>
      </c>
      <c r="L18" s="178">
        <f>L15+L16+L17</f>
        <v>0</v>
      </c>
    </row>
    <row r="19" spans="1:12" ht="16.5" customHeight="1">
      <c r="A19" s="176">
        <v>16</v>
      </c>
      <c r="B19" s="20" t="s">
        <v>127</v>
      </c>
      <c r="C19" s="20"/>
      <c r="D19" s="20"/>
      <c r="E19" s="20"/>
      <c r="F19" s="20"/>
      <c r="G19" s="20"/>
      <c r="H19" s="20"/>
      <c r="I19" s="20"/>
      <c r="J19" s="22"/>
      <c r="K19" s="24" t="s">
        <v>41</v>
      </c>
      <c r="L19" s="115">
        <v>0</v>
      </c>
    </row>
    <row r="20" spans="1:12" ht="16.5" customHeight="1">
      <c r="A20" s="176">
        <v>17</v>
      </c>
      <c r="B20" s="20" t="s">
        <v>128</v>
      </c>
      <c r="C20" s="20"/>
      <c r="D20" s="20"/>
      <c r="E20" s="20"/>
      <c r="F20" s="20"/>
      <c r="G20" s="20"/>
      <c r="H20" s="20"/>
      <c r="I20" s="20"/>
      <c r="J20" s="22"/>
      <c r="K20" s="24" t="s">
        <v>41</v>
      </c>
      <c r="L20" s="115">
        <f>L18-L19</f>
        <v>0</v>
      </c>
    </row>
    <row r="21" spans="1:12" ht="16.5" customHeight="1">
      <c r="A21" s="176">
        <v>18</v>
      </c>
      <c r="B21" s="20" t="s">
        <v>129</v>
      </c>
      <c r="C21" s="20"/>
      <c r="D21" s="20"/>
      <c r="E21" s="20"/>
      <c r="F21" s="20"/>
      <c r="G21" s="20"/>
      <c r="H21" s="20"/>
      <c r="I21" s="20"/>
      <c r="J21" s="22"/>
      <c r="K21" s="24" t="s">
        <v>41</v>
      </c>
      <c r="L21" s="115">
        <v>0</v>
      </c>
    </row>
    <row r="22" spans="1:12" ht="16.5" customHeight="1">
      <c r="A22" s="149"/>
      <c r="B22" s="294" t="s">
        <v>130</v>
      </c>
      <c r="C22" s="281"/>
      <c r="D22" s="281"/>
      <c r="E22" s="281"/>
      <c r="F22" s="281"/>
      <c r="G22" s="20"/>
      <c r="H22" s="20"/>
      <c r="I22" s="20"/>
      <c r="J22" s="22"/>
      <c r="K22" s="347" t="s">
        <v>41</v>
      </c>
      <c r="L22" s="356">
        <f>SUM('Form-16 Front'!F14:G17)</f>
        <v>0</v>
      </c>
    </row>
    <row r="23" spans="1:12" ht="16.5" customHeight="1">
      <c r="A23" s="149"/>
      <c r="B23" s="294" t="s">
        <v>131</v>
      </c>
      <c r="C23" s="281"/>
      <c r="D23" s="281"/>
      <c r="E23" s="281"/>
      <c r="F23" s="281"/>
      <c r="G23" s="168"/>
      <c r="H23" s="168"/>
      <c r="I23" s="168"/>
      <c r="J23" s="162"/>
      <c r="K23" s="344"/>
      <c r="L23" s="357"/>
    </row>
    <row r="24" spans="1:12" ht="16.5" customHeight="1">
      <c r="A24" s="176">
        <v>19</v>
      </c>
      <c r="B24" s="20" t="s">
        <v>132</v>
      </c>
      <c r="C24" s="20"/>
      <c r="D24" s="20"/>
      <c r="E24" s="20"/>
      <c r="F24" s="20"/>
      <c r="G24" s="20"/>
      <c r="H24" s="20"/>
      <c r="I24" s="20"/>
      <c r="J24" s="22"/>
      <c r="K24" s="24" t="s">
        <v>41</v>
      </c>
      <c r="L24" s="199">
        <f>'Annexure-I'!K58</f>
        <v>0</v>
      </c>
    </row>
    <row r="25" spans="1:12" ht="10.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9" customHeight="1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1"/>
    </row>
    <row r="27" spans="1:12" ht="16.5" customHeight="1">
      <c r="A27" s="149" t="s">
        <v>133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1"/>
    </row>
    <row r="28" spans="1:12" ht="16.5" customHeight="1">
      <c r="A28" s="149" t="s">
        <v>134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</row>
    <row r="29" spans="1:12" ht="10.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2" s="202" customFormat="1" ht="16.5" customHeight="1">
      <c r="A30" s="200" t="s">
        <v>135</v>
      </c>
      <c r="B30" s="201" t="s">
        <v>136</v>
      </c>
      <c r="C30" s="347" t="s">
        <v>137</v>
      </c>
      <c r="D30" s="348"/>
      <c r="E30" s="201" t="s">
        <v>138</v>
      </c>
      <c r="F30" s="201" t="s">
        <v>139</v>
      </c>
      <c r="G30" s="347" t="s">
        <v>140</v>
      </c>
      <c r="H30" s="348"/>
      <c r="I30" s="201" t="s">
        <v>141</v>
      </c>
      <c r="J30" s="201" t="s">
        <v>142</v>
      </c>
      <c r="K30" s="347" t="s">
        <v>143</v>
      </c>
      <c r="L30" s="349"/>
    </row>
    <row r="31" spans="1:12" s="202" customFormat="1" ht="16.5" customHeight="1">
      <c r="A31" s="203" t="s">
        <v>144</v>
      </c>
      <c r="B31" s="204" t="s">
        <v>41</v>
      </c>
      <c r="C31" s="350" t="s">
        <v>41</v>
      </c>
      <c r="D31" s="351"/>
      <c r="E31" s="204" t="s">
        <v>145</v>
      </c>
      <c r="F31" s="204" t="s">
        <v>146</v>
      </c>
      <c r="G31" s="350" t="s">
        <v>147</v>
      </c>
      <c r="H31" s="351"/>
      <c r="I31" s="204" t="s">
        <v>148</v>
      </c>
      <c r="J31" s="204" t="s">
        <v>149</v>
      </c>
      <c r="K31" s="350" t="s">
        <v>150</v>
      </c>
      <c r="L31" s="352"/>
    </row>
    <row r="32" spans="1:12" s="202" customFormat="1" ht="16.5" customHeight="1">
      <c r="A32" s="205"/>
      <c r="B32" s="206"/>
      <c r="C32" s="344"/>
      <c r="D32" s="345"/>
      <c r="E32" s="206" t="s">
        <v>41</v>
      </c>
      <c r="F32" s="206" t="s">
        <v>41</v>
      </c>
      <c r="G32" s="207"/>
      <c r="H32" s="208"/>
      <c r="I32" s="206" t="s">
        <v>151</v>
      </c>
      <c r="J32" s="206" t="s">
        <v>146</v>
      </c>
      <c r="K32" s="344" t="s">
        <v>152</v>
      </c>
      <c r="L32" s="346"/>
    </row>
    <row r="33" spans="1:12" ht="16.5" customHeight="1">
      <c r="A33" s="176"/>
      <c r="B33" s="23"/>
      <c r="C33" s="294"/>
      <c r="D33" s="282"/>
      <c r="E33" s="23"/>
      <c r="F33" s="23"/>
      <c r="G33" s="294"/>
      <c r="H33" s="282"/>
      <c r="I33" s="23"/>
      <c r="J33" s="23"/>
      <c r="K33" s="294"/>
      <c r="L33" s="337"/>
    </row>
    <row r="34" spans="1:12" ht="16.5" customHeight="1">
      <c r="A34" s="176"/>
      <c r="B34" s="23"/>
      <c r="C34" s="294"/>
      <c r="D34" s="282"/>
      <c r="E34" s="23"/>
      <c r="F34" s="23"/>
      <c r="G34" s="294"/>
      <c r="H34" s="282"/>
      <c r="I34" s="23"/>
      <c r="J34" s="23"/>
      <c r="K34" s="294"/>
      <c r="L34" s="337"/>
    </row>
    <row r="35" spans="1:12" ht="16.5" customHeight="1">
      <c r="A35" s="176"/>
      <c r="B35" s="23"/>
      <c r="C35" s="294"/>
      <c r="D35" s="282"/>
      <c r="E35" s="23"/>
      <c r="F35" s="23"/>
      <c r="G35" s="294"/>
      <c r="H35" s="282"/>
      <c r="I35" s="23"/>
      <c r="J35" s="23"/>
      <c r="K35" s="294"/>
      <c r="L35" s="337"/>
    </row>
    <row r="36" spans="1:12" ht="16.5" customHeight="1">
      <c r="A36" s="176"/>
      <c r="B36" s="23"/>
      <c r="C36" s="294"/>
      <c r="D36" s="282"/>
      <c r="E36" s="23"/>
      <c r="F36" s="23"/>
      <c r="G36" s="294"/>
      <c r="H36" s="282"/>
      <c r="I36" s="23"/>
      <c r="J36" s="23"/>
      <c r="K36" s="294"/>
      <c r="L36" s="337"/>
    </row>
    <row r="37" spans="1:22" ht="16.5" customHeight="1">
      <c r="A37" s="176"/>
      <c r="B37" s="23"/>
      <c r="C37" s="294"/>
      <c r="D37" s="282"/>
      <c r="E37" s="23"/>
      <c r="F37" s="23"/>
      <c r="G37" s="294"/>
      <c r="H37" s="282"/>
      <c r="I37" s="23"/>
      <c r="J37" s="23"/>
      <c r="K37" s="294"/>
      <c r="L37" s="337"/>
      <c r="S37" s="147" t="s">
        <v>22</v>
      </c>
      <c r="T37" s="147" t="s">
        <v>22</v>
      </c>
      <c r="U37" s="147" t="s">
        <v>22</v>
      </c>
      <c r="V37" s="147" t="s">
        <v>22</v>
      </c>
    </row>
    <row r="38" spans="1:22" ht="16.5" customHeight="1">
      <c r="A38" s="176"/>
      <c r="B38" s="23"/>
      <c r="C38" s="294"/>
      <c r="D38" s="282"/>
      <c r="E38" s="23"/>
      <c r="F38" s="23"/>
      <c r="G38" s="294"/>
      <c r="H38" s="282"/>
      <c r="I38" s="23"/>
      <c r="J38" s="23"/>
      <c r="K38" s="294"/>
      <c r="L38" s="337"/>
      <c r="S38" s="147" t="e">
        <v>#N/A</v>
      </c>
      <c r="T38" s="147" t="e">
        <v>#N/A</v>
      </c>
      <c r="U38" s="147" t="e">
        <v>#N/A</v>
      </c>
      <c r="V38" s="147" t="e">
        <v>#N/A</v>
      </c>
    </row>
    <row r="39" spans="1:22" ht="15" customHeight="1">
      <c r="A39" s="338" t="str">
        <f>DX47</f>
        <v>     I, B.Rattaiah, Son/Daughter of____________________Working in the capacity of  MEO do here by certify that the sum of, Rs.0  ( Rupees Zero Only ) deducted at source and paid to the credit of the central Government. I further certify that the Information above is true and correct base on the books of account, documents and other available records.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40"/>
      <c r="S39" s="147">
        <v>0</v>
      </c>
      <c r="T39" s="147">
        <v>0</v>
      </c>
      <c r="U39" s="147">
        <v>0</v>
      </c>
      <c r="V39" s="147">
        <v>0</v>
      </c>
    </row>
    <row r="40" spans="1:21" ht="15" customHeight="1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3"/>
      <c r="S40" s="147" t="s">
        <v>153</v>
      </c>
      <c r="T40" s="147" t="s">
        <v>154</v>
      </c>
      <c r="U40" s="147" t="s">
        <v>155</v>
      </c>
    </row>
    <row r="41" spans="1:20" ht="15" customHeight="1">
      <c r="A41" s="341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3"/>
      <c r="S41" s="147">
        <v>0</v>
      </c>
      <c r="T41" s="147" t="s">
        <v>156</v>
      </c>
    </row>
    <row r="42" spans="1:127" ht="15" customHeight="1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3"/>
      <c r="S42" s="147">
        <v>1</v>
      </c>
      <c r="T42" s="147">
        <v>2</v>
      </c>
      <c r="U42" s="147">
        <v>3</v>
      </c>
      <c r="V42" s="147">
        <v>4</v>
      </c>
      <c r="W42" s="147">
        <v>5</v>
      </c>
      <c r="X42" s="147">
        <v>6</v>
      </c>
      <c r="Y42" s="147">
        <v>7</v>
      </c>
      <c r="Z42" s="147">
        <v>8</v>
      </c>
      <c r="AA42" s="147">
        <v>9</v>
      </c>
      <c r="AB42" s="147">
        <v>10</v>
      </c>
      <c r="AC42" s="147">
        <v>11</v>
      </c>
      <c r="AD42" s="147">
        <v>12</v>
      </c>
      <c r="AE42" s="147">
        <v>13</v>
      </c>
      <c r="AF42" s="147">
        <v>14</v>
      </c>
      <c r="AG42" s="147">
        <v>15</v>
      </c>
      <c r="AH42" s="147">
        <v>16</v>
      </c>
      <c r="AI42" s="147">
        <v>17</v>
      </c>
      <c r="AJ42" s="147">
        <v>18</v>
      </c>
      <c r="AK42" s="147">
        <v>19</v>
      </c>
      <c r="AL42" s="147">
        <v>20</v>
      </c>
      <c r="AM42" s="147">
        <v>21</v>
      </c>
      <c r="AN42" s="147">
        <v>22</v>
      </c>
      <c r="AO42" s="147">
        <v>23</v>
      </c>
      <c r="AP42" s="147">
        <v>24</v>
      </c>
      <c r="AQ42" s="147">
        <v>25</v>
      </c>
      <c r="AR42" s="147">
        <v>26</v>
      </c>
      <c r="AS42" s="147">
        <v>27</v>
      </c>
      <c r="AT42" s="147">
        <v>28</v>
      </c>
      <c r="AU42" s="147">
        <v>29</v>
      </c>
      <c r="AV42" s="147">
        <v>30</v>
      </c>
      <c r="AW42" s="147">
        <v>31</v>
      </c>
      <c r="AX42" s="147">
        <v>32</v>
      </c>
      <c r="AY42" s="147">
        <v>33</v>
      </c>
      <c r="AZ42" s="147">
        <v>34</v>
      </c>
      <c r="BA42" s="147">
        <v>35</v>
      </c>
      <c r="BB42" s="147">
        <v>36</v>
      </c>
      <c r="BC42" s="147">
        <v>37</v>
      </c>
      <c r="BD42" s="147">
        <v>38</v>
      </c>
      <c r="BE42" s="147">
        <v>39</v>
      </c>
      <c r="BF42" s="147">
        <v>40</v>
      </c>
      <c r="BG42" s="147">
        <v>41</v>
      </c>
      <c r="BH42" s="147">
        <v>42</v>
      </c>
      <c r="BI42" s="147">
        <v>43</v>
      </c>
      <c r="BJ42" s="147">
        <v>44</v>
      </c>
      <c r="BK42" s="147">
        <v>45</v>
      </c>
      <c r="BL42" s="147">
        <v>46</v>
      </c>
      <c r="BM42" s="147">
        <v>47</v>
      </c>
      <c r="BN42" s="147">
        <v>48</v>
      </c>
      <c r="BO42" s="147">
        <v>49</v>
      </c>
      <c r="BP42" s="147">
        <v>50</v>
      </c>
      <c r="BQ42" s="147">
        <v>51</v>
      </c>
      <c r="BR42" s="147">
        <v>52</v>
      </c>
      <c r="BS42" s="147">
        <v>53</v>
      </c>
      <c r="BT42" s="147">
        <v>54</v>
      </c>
      <c r="BU42" s="147">
        <v>55</v>
      </c>
      <c r="BV42" s="147">
        <v>56</v>
      </c>
      <c r="BW42" s="147">
        <v>57</v>
      </c>
      <c r="BX42" s="147">
        <v>58</v>
      </c>
      <c r="BY42" s="147">
        <v>59</v>
      </c>
      <c r="BZ42" s="147">
        <v>60</v>
      </c>
      <c r="CA42" s="147">
        <v>61</v>
      </c>
      <c r="CB42" s="147">
        <v>62</v>
      </c>
      <c r="CC42" s="147">
        <v>63</v>
      </c>
      <c r="CD42" s="147">
        <v>64</v>
      </c>
      <c r="CE42" s="147">
        <v>65</v>
      </c>
      <c r="CF42" s="147">
        <v>66</v>
      </c>
      <c r="CG42" s="147">
        <v>67</v>
      </c>
      <c r="CH42" s="147">
        <v>68</v>
      </c>
      <c r="CI42" s="147">
        <v>69</v>
      </c>
      <c r="CJ42" s="147">
        <v>70</v>
      </c>
      <c r="CK42" s="147">
        <v>71</v>
      </c>
      <c r="CL42" s="147">
        <v>72</v>
      </c>
      <c r="CM42" s="147">
        <v>73</v>
      </c>
      <c r="CN42" s="147">
        <v>74</v>
      </c>
      <c r="CO42" s="147">
        <v>75</v>
      </c>
      <c r="CP42" s="147">
        <v>76</v>
      </c>
      <c r="CQ42" s="147">
        <v>77</v>
      </c>
      <c r="CR42" s="147">
        <v>78</v>
      </c>
      <c r="CS42" s="147">
        <v>79</v>
      </c>
      <c r="CT42" s="147">
        <v>80</v>
      </c>
      <c r="CU42" s="147">
        <v>81</v>
      </c>
      <c r="CV42" s="147">
        <v>82</v>
      </c>
      <c r="CW42" s="147">
        <v>83</v>
      </c>
      <c r="CX42" s="147">
        <v>84</v>
      </c>
      <c r="CY42" s="147">
        <v>85</v>
      </c>
      <c r="CZ42" s="147">
        <v>86</v>
      </c>
      <c r="DA42" s="147">
        <v>87</v>
      </c>
      <c r="DB42" s="147">
        <v>88</v>
      </c>
      <c r="DC42" s="147">
        <v>89</v>
      </c>
      <c r="DD42" s="147">
        <v>90</v>
      </c>
      <c r="DE42" s="147">
        <v>91</v>
      </c>
      <c r="DF42" s="147">
        <v>92</v>
      </c>
      <c r="DG42" s="147">
        <v>93</v>
      </c>
      <c r="DH42" s="147">
        <v>94</v>
      </c>
      <c r="DI42" s="147">
        <v>95</v>
      </c>
      <c r="DJ42" s="147">
        <v>96</v>
      </c>
      <c r="DK42" s="147">
        <v>97</v>
      </c>
      <c r="DL42" s="147">
        <v>98</v>
      </c>
      <c r="DM42" s="147">
        <v>99</v>
      </c>
      <c r="DW42" s="147" t="e">
        <f>[1]!ban(B41)</f>
        <v>#NAME?</v>
      </c>
    </row>
    <row r="43" spans="1:131" ht="15" customHeight="1">
      <c r="A43" s="341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3"/>
      <c r="S43" s="147" t="s">
        <v>157</v>
      </c>
      <c r="T43" s="147" t="s">
        <v>158</v>
      </c>
      <c r="U43" s="147" t="s">
        <v>159</v>
      </c>
      <c r="V43" s="147" t="s">
        <v>160</v>
      </c>
      <c r="W43" s="147" t="s">
        <v>161</v>
      </c>
      <c r="X43" s="147" t="s">
        <v>162</v>
      </c>
      <c r="Y43" s="147" t="s">
        <v>163</v>
      </c>
      <c r="Z43" s="147" t="s">
        <v>164</v>
      </c>
      <c r="AA43" s="147" t="s">
        <v>165</v>
      </c>
      <c r="AB43" s="147" t="s">
        <v>166</v>
      </c>
      <c r="AC43" s="147" t="s">
        <v>167</v>
      </c>
      <c r="AD43" s="147" t="s">
        <v>168</v>
      </c>
      <c r="AE43" s="147" t="s">
        <v>169</v>
      </c>
      <c r="AF43" s="147" t="s">
        <v>170</v>
      </c>
      <c r="AG43" s="147" t="s">
        <v>171</v>
      </c>
      <c r="AH43" s="147" t="s">
        <v>172</v>
      </c>
      <c r="AI43" s="147" t="s">
        <v>173</v>
      </c>
      <c r="AJ43" s="147" t="s">
        <v>174</v>
      </c>
      <c r="AK43" s="147" t="s">
        <v>175</v>
      </c>
      <c r="AL43" s="147" t="s">
        <v>176</v>
      </c>
      <c r="AM43" s="147" t="s">
        <v>177</v>
      </c>
      <c r="AN43" s="147" t="s">
        <v>178</v>
      </c>
      <c r="AO43" s="147" t="s">
        <v>179</v>
      </c>
      <c r="AP43" s="147" t="s">
        <v>180</v>
      </c>
      <c r="AQ43" s="147" t="s">
        <v>181</v>
      </c>
      <c r="AR43" s="147" t="s">
        <v>182</v>
      </c>
      <c r="AS43" s="147" t="s">
        <v>183</v>
      </c>
      <c r="AT43" s="147" t="s">
        <v>184</v>
      </c>
      <c r="AU43" s="147" t="s">
        <v>185</v>
      </c>
      <c r="AV43" s="147" t="s">
        <v>186</v>
      </c>
      <c r="AW43" s="147" t="s">
        <v>187</v>
      </c>
      <c r="AX43" s="147" t="s">
        <v>188</v>
      </c>
      <c r="AY43" s="147" t="s">
        <v>189</v>
      </c>
      <c r="AZ43" s="147" t="s">
        <v>190</v>
      </c>
      <c r="BA43" s="147" t="s">
        <v>191</v>
      </c>
      <c r="BB43" s="147" t="s">
        <v>192</v>
      </c>
      <c r="BC43" s="147" t="s">
        <v>193</v>
      </c>
      <c r="BD43" s="147" t="s">
        <v>194</v>
      </c>
      <c r="BE43" s="147" t="s">
        <v>195</v>
      </c>
      <c r="BF43" s="147" t="s">
        <v>196</v>
      </c>
      <c r="BG43" s="147" t="s">
        <v>197</v>
      </c>
      <c r="BH43" s="147" t="s">
        <v>198</v>
      </c>
      <c r="BI43" s="147" t="s">
        <v>199</v>
      </c>
      <c r="BJ43" s="147" t="s">
        <v>200</v>
      </c>
      <c r="BK43" s="147" t="s">
        <v>201</v>
      </c>
      <c r="BL43" s="147" t="s">
        <v>202</v>
      </c>
      <c r="BM43" s="147" t="s">
        <v>203</v>
      </c>
      <c r="BN43" s="147" t="s">
        <v>204</v>
      </c>
      <c r="BO43" s="147" t="s">
        <v>205</v>
      </c>
      <c r="BP43" s="147" t="s">
        <v>206</v>
      </c>
      <c r="BQ43" s="147" t="s">
        <v>207</v>
      </c>
      <c r="BR43" s="147" t="s">
        <v>208</v>
      </c>
      <c r="BS43" s="147" t="s">
        <v>209</v>
      </c>
      <c r="BT43" s="147" t="s">
        <v>210</v>
      </c>
      <c r="BU43" s="147" t="s">
        <v>211</v>
      </c>
      <c r="BV43" s="147" t="s">
        <v>212</v>
      </c>
      <c r="BW43" s="147" t="s">
        <v>213</v>
      </c>
      <c r="BX43" s="147" t="s">
        <v>214</v>
      </c>
      <c r="BY43" s="147" t="s">
        <v>215</v>
      </c>
      <c r="BZ43" s="147" t="s">
        <v>216</v>
      </c>
      <c r="CA43" s="147" t="s">
        <v>217</v>
      </c>
      <c r="CB43" s="147" t="s">
        <v>218</v>
      </c>
      <c r="CC43" s="147" t="s">
        <v>219</v>
      </c>
      <c r="CD43" s="147" t="s">
        <v>220</v>
      </c>
      <c r="CE43" s="147" t="s">
        <v>221</v>
      </c>
      <c r="CF43" s="147" t="s">
        <v>222</v>
      </c>
      <c r="CG43" s="147" t="s">
        <v>223</v>
      </c>
      <c r="CH43" s="147" t="s">
        <v>224</v>
      </c>
      <c r="CI43" s="147" t="s">
        <v>225</v>
      </c>
      <c r="CJ43" s="147" t="s">
        <v>226</v>
      </c>
      <c r="CK43" s="147" t="s">
        <v>227</v>
      </c>
      <c r="CL43" s="147" t="s">
        <v>228</v>
      </c>
      <c r="CM43" s="147" t="s">
        <v>229</v>
      </c>
      <c r="CN43" s="147" t="s">
        <v>230</v>
      </c>
      <c r="CO43" s="147" t="s">
        <v>231</v>
      </c>
      <c r="CP43" s="147" t="s">
        <v>232</v>
      </c>
      <c r="CQ43" s="147" t="s">
        <v>233</v>
      </c>
      <c r="CR43" s="147" t="s">
        <v>234</v>
      </c>
      <c r="CS43" s="147" t="s">
        <v>235</v>
      </c>
      <c r="CT43" s="147" t="s">
        <v>236</v>
      </c>
      <c r="CU43" s="147" t="s">
        <v>237</v>
      </c>
      <c r="CV43" s="147" t="s">
        <v>238</v>
      </c>
      <c r="CW43" s="147" t="s">
        <v>239</v>
      </c>
      <c r="CX43" s="147" t="s">
        <v>240</v>
      </c>
      <c r="CY43" s="147" t="s">
        <v>241</v>
      </c>
      <c r="CZ43" s="147" t="s">
        <v>242</v>
      </c>
      <c r="DA43" s="147" t="s">
        <v>243</v>
      </c>
      <c r="DB43" s="147" t="s">
        <v>244</v>
      </c>
      <c r="DC43" s="147" t="s">
        <v>245</v>
      </c>
      <c r="DD43" s="147" t="s">
        <v>246</v>
      </c>
      <c r="DE43" s="147" t="s">
        <v>247</v>
      </c>
      <c r="DF43" s="147" t="s">
        <v>248</v>
      </c>
      <c r="DG43" s="147" t="s">
        <v>249</v>
      </c>
      <c r="DH43" s="147" t="s">
        <v>250</v>
      </c>
      <c r="DI43" s="147" t="s">
        <v>251</v>
      </c>
      <c r="DJ43" s="147" t="s">
        <v>252</v>
      </c>
      <c r="DK43" s="147" t="s">
        <v>253</v>
      </c>
      <c r="DL43" s="147" t="s">
        <v>254</v>
      </c>
      <c r="DM43" s="147" t="s">
        <v>255</v>
      </c>
      <c r="EA43" s="147" t="str">
        <f>'Data Entry Sheet'!D9</f>
        <v>B.Rattaiah</v>
      </c>
    </row>
    <row r="44" spans="1:131" ht="11.25" customHeight="1">
      <c r="A44" s="341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3"/>
      <c r="EA44" s="209">
        <f>L24</f>
        <v>0</v>
      </c>
    </row>
    <row r="45" spans="1:131" ht="13.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1"/>
      <c r="EA45" s="197" t="str">
        <f>ban(EA44)</f>
        <v>Rupees Zero Only</v>
      </c>
    </row>
    <row r="46" spans="1:131" ht="15.75" customHeight="1">
      <c r="A46" s="149"/>
      <c r="B46" s="150"/>
      <c r="C46" s="150"/>
      <c r="D46" s="150"/>
      <c r="E46" s="150"/>
      <c r="F46" s="150" t="s">
        <v>256</v>
      </c>
      <c r="G46" s="150"/>
      <c r="H46" s="150"/>
      <c r="I46" s="150"/>
      <c r="J46" s="150"/>
      <c r="K46" s="150"/>
      <c r="L46" s="151"/>
      <c r="EA46" s="147" t="str">
        <f>'Data Entry Sheet'!M2</f>
        <v>MEO</v>
      </c>
    </row>
    <row r="47" spans="1:128" ht="8.2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DX47" s="147" t="str">
        <f>CONCATENATE("     I, ",EA43,", Son/Daughter of____________________Working in the capacity of  ",EA46," do here by certify that the sum of",", Rs.",EA44,"  ( ",EA45," ) deducted at source and paid to the credit of the central Government. I further certify that the Information above is true and correct base on the books of account, documents and other available records.")</f>
        <v>     I, B.Rattaiah, Son/Daughter of____________________Working in the capacity of  MEO do here by certify that the sum of, Rs.0  ( Rupees Zero Only ) deducted at source and paid to the credit of the central Government. I further certify that the Information above is true and correct base on the books of account, documents and other available records.</v>
      </c>
    </row>
    <row r="48" spans="1:12" ht="16.5" customHeight="1">
      <c r="A48" s="149" t="s">
        <v>257</v>
      </c>
      <c r="B48" s="150"/>
      <c r="C48" s="210"/>
      <c r="D48" s="210" t="str">
        <f>'Data Entry Sheet'!D4:F4</f>
        <v>Mopidevi</v>
      </c>
      <c r="E48" s="150"/>
      <c r="F48" s="150" t="s">
        <v>259</v>
      </c>
      <c r="G48" s="150"/>
      <c r="H48" s="150"/>
      <c r="I48" s="150"/>
      <c r="J48" s="150"/>
      <c r="K48" s="150"/>
      <c r="L48" s="151"/>
    </row>
    <row r="49" spans="1:12" ht="16.5" customHeight="1">
      <c r="A49" s="149" t="s">
        <v>260</v>
      </c>
      <c r="B49" s="150"/>
      <c r="C49" s="336">
        <f ca="1">NOW()</f>
        <v>41314.935913078705</v>
      </c>
      <c r="D49" s="336"/>
      <c r="E49" s="150"/>
      <c r="F49" s="150" t="s">
        <v>261</v>
      </c>
      <c r="G49" s="150"/>
      <c r="H49" s="210" t="str">
        <f>'Data Entry Sheet'!D9</f>
        <v>B.Rattaiah</v>
      </c>
      <c r="I49" s="150"/>
      <c r="J49" s="150"/>
      <c r="K49" s="150"/>
      <c r="L49" s="151"/>
    </row>
    <row r="50" spans="1:12" ht="16.5" customHeight="1">
      <c r="A50" s="149"/>
      <c r="B50" s="150"/>
      <c r="C50" s="150"/>
      <c r="D50" s="150"/>
      <c r="E50" s="150"/>
      <c r="F50" s="150" t="s">
        <v>262</v>
      </c>
      <c r="G50" s="150"/>
      <c r="H50" s="210" t="str">
        <f>EA46</f>
        <v>MEO</v>
      </c>
      <c r="I50" s="150"/>
      <c r="J50" s="150"/>
      <c r="K50" s="150"/>
      <c r="L50" s="151"/>
    </row>
    <row r="51" spans="1:12" ht="16.5" customHeight="1" thickBot="1">
      <c r="A51" s="187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9"/>
    </row>
    <row r="52" spans="1:41" ht="18.75" customHeight="1" thickTop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</row>
    <row r="53" spans="1:41" ht="18.75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</row>
    <row r="54" spans="1:41" ht="18.75" customHeight="1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</row>
    <row r="55" spans="1:41" ht="18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</row>
    <row r="56" spans="1:41" ht="18.75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</row>
    <row r="57" spans="1:41" ht="18.75" customHeight="1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</row>
    <row r="58" spans="1:41" ht="18.75" customHeight="1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</row>
    <row r="59" spans="1:41" ht="18.7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</row>
    <row r="60" spans="1:41" ht="18.75" customHeight="1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</row>
    <row r="61" spans="1:41" ht="18.75" customHeigh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</row>
    <row r="62" spans="1:41" ht="18.75" customHeight="1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</row>
    <row r="63" spans="1:41" ht="18.75" customHeigh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</row>
    <row r="64" spans="1:41" ht="18.7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</row>
    <row r="65" spans="1:41" ht="1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</row>
    <row r="66" spans="1:41" ht="1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</row>
  </sheetData>
  <sheetProtection password="C71F" sheet="1"/>
  <mergeCells count="40">
    <mergeCell ref="C4:F4"/>
    <mergeCell ref="C6:F6"/>
    <mergeCell ref="C7:F7"/>
    <mergeCell ref="C8:F8"/>
    <mergeCell ref="C9:F9"/>
    <mergeCell ref="C5:F5"/>
    <mergeCell ref="C10:F10"/>
    <mergeCell ref="B11:J11"/>
    <mergeCell ref="B22:F22"/>
    <mergeCell ref="K22:K23"/>
    <mergeCell ref="L22:L23"/>
    <mergeCell ref="B23:F23"/>
    <mergeCell ref="C30:D30"/>
    <mergeCell ref="G30:H30"/>
    <mergeCell ref="K30:L30"/>
    <mergeCell ref="C31:D31"/>
    <mergeCell ref="G31:H31"/>
    <mergeCell ref="K31:L31"/>
    <mergeCell ref="C32:D32"/>
    <mergeCell ref="K32:L32"/>
    <mergeCell ref="C33:D33"/>
    <mergeCell ref="G33:H33"/>
    <mergeCell ref="K33:L33"/>
    <mergeCell ref="C34:D34"/>
    <mergeCell ref="G34:H34"/>
    <mergeCell ref="K34:L34"/>
    <mergeCell ref="C35:D35"/>
    <mergeCell ref="G35:H35"/>
    <mergeCell ref="K35:L35"/>
    <mergeCell ref="C36:D36"/>
    <mergeCell ref="G36:H36"/>
    <mergeCell ref="K36:L36"/>
    <mergeCell ref="C49:D49"/>
    <mergeCell ref="C37:D37"/>
    <mergeCell ref="G37:H37"/>
    <mergeCell ref="K37:L37"/>
    <mergeCell ref="C38:D38"/>
    <mergeCell ref="G38:H38"/>
    <mergeCell ref="K38:L38"/>
    <mergeCell ref="A39:L44"/>
  </mergeCells>
  <printOptions horizontalCentered="1" verticalCentered="1"/>
  <pageMargins left="0.2362204724409449" right="0.2362204724409449" top="0.31496062992125984" bottom="0.31496062992125984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M61"/>
  <sheetViews>
    <sheetView zoomScalePageLayoutView="0" workbookViewId="0" topLeftCell="A1">
      <selection activeCell="J32" sqref="J32:J35"/>
    </sheetView>
  </sheetViews>
  <sheetFormatPr defaultColWidth="9.140625" defaultRowHeight="15"/>
  <cols>
    <col min="1" max="1" width="3.28125" style="4" customWidth="1"/>
    <col min="2" max="2" width="4.00390625" style="4" customWidth="1"/>
    <col min="3" max="3" width="5.421875" style="4" customWidth="1"/>
    <col min="4" max="4" width="9.140625" style="4" customWidth="1"/>
    <col min="5" max="5" width="7.57421875" style="4" customWidth="1"/>
    <col min="6" max="6" width="9.140625" style="4" customWidth="1"/>
    <col min="7" max="7" width="13.00390625" style="4" customWidth="1"/>
    <col min="8" max="8" width="9.140625" style="4" customWidth="1"/>
    <col min="9" max="9" width="3.7109375" style="4" customWidth="1"/>
    <col min="10" max="10" width="13.57421875" style="4" customWidth="1"/>
    <col min="11" max="11" width="16.8515625" style="4" customWidth="1"/>
    <col min="12" max="14" width="9.140625" style="4" customWidth="1"/>
    <col min="15" max="24" width="11.28125" style="117" hidden="1" customWidth="1"/>
    <col min="25" max="26" width="9.140625" style="4" hidden="1" customWidth="1"/>
    <col min="27" max="16384" width="9.140625" style="4" customWidth="1"/>
  </cols>
  <sheetData>
    <row r="1" spans="1:11" ht="15.75" customHeight="1" thickTop="1">
      <c r="A1" s="388" t="s">
        <v>263</v>
      </c>
      <c r="B1" s="389"/>
      <c r="C1" s="389"/>
      <c r="D1" s="389"/>
      <c r="E1" s="389"/>
      <c r="F1" s="389"/>
      <c r="G1" s="389"/>
      <c r="H1" s="389"/>
      <c r="I1" s="389"/>
      <c r="J1" s="389"/>
      <c r="K1" s="390"/>
    </row>
    <row r="2" spans="1:11" ht="14.25" customHeight="1">
      <c r="A2" s="391" t="s">
        <v>416</v>
      </c>
      <c r="B2" s="392"/>
      <c r="C2" s="392"/>
      <c r="D2" s="392"/>
      <c r="E2" s="392"/>
      <c r="F2" s="392"/>
      <c r="G2" s="392"/>
      <c r="H2" s="392"/>
      <c r="I2" s="392"/>
      <c r="J2" s="392"/>
      <c r="K2" s="393"/>
    </row>
    <row r="3" spans="1:11" ht="14.25" customHeight="1">
      <c r="A3" s="394" t="s">
        <v>264</v>
      </c>
      <c r="B3" s="395"/>
      <c r="C3" s="395"/>
      <c r="D3" s="396" t="str">
        <f>'Data Entry Sheet'!D1</f>
        <v>S V P K Srinivas</v>
      </c>
      <c r="E3" s="396"/>
      <c r="F3" s="396"/>
      <c r="G3" s="396"/>
      <c r="H3" s="397" t="s">
        <v>265</v>
      </c>
      <c r="I3" s="397"/>
      <c r="J3" s="398" t="str">
        <f>'Data Entry Sheet'!D3</f>
        <v>MPUPS,Bobbarlanka</v>
      </c>
      <c r="K3" s="399"/>
    </row>
    <row r="4" spans="1:11" ht="14.25" customHeight="1">
      <c r="A4" s="379" t="s">
        <v>266</v>
      </c>
      <c r="B4" s="380"/>
      <c r="C4" s="380"/>
      <c r="D4" s="381" t="str">
        <f>'Data Entry Sheet'!D2</f>
        <v>SGT</v>
      </c>
      <c r="E4" s="381"/>
      <c r="F4" s="381"/>
      <c r="G4" s="381"/>
      <c r="H4" s="382" t="s">
        <v>267</v>
      </c>
      <c r="I4" s="382"/>
      <c r="J4" s="383" t="str">
        <f>'Data Entry Sheet'!D4</f>
        <v>Mopidevi</v>
      </c>
      <c r="K4" s="384"/>
    </row>
    <row r="5" spans="1:11" ht="15">
      <c r="A5" s="26">
        <v>1</v>
      </c>
      <c r="B5" s="101" t="s">
        <v>366</v>
      </c>
      <c r="C5" s="102"/>
      <c r="D5" s="102" t="str">
        <f>CONCATENATE('Data Entry Sheet'!M5," House")</f>
        <v>Rented House</v>
      </c>
      <c r="E5" s="102"/>
      <c r="F5" s="102"/>
      <c r="G5" s="385" t="s">
        <v>268</v>
      </c>
      <c r="H5" s="385"/>
      <c r="I5" s="385"/>
      <c r="J5" s="386">
        <f>'Form-16 Front'!G11</f>
      </c>
      <c r="K5" s="387"/>
    </row>
    <row r="6" spans="1:11" ht="15" customHeight="1">
      <c r="A6" s="26">
        <v>2</v>
      </c>
      <c r="B6" s="368" t="s">
        <v>269</v>
      </c>
      <c r="C6" s="369"/>
      <c r="D6" s="369"/>
      <c r="E6" s="369"/>
      <c r="F6" s="369"/>
      <c r="G6" s="369"/>
      <c r="H6" s="369"/>
      <c r="I6" s="28" t="s">
        <v>41</v>
      </c>
      <c r="J6" s="29">
        <f>'Salary Table'!J23</f>
        <v>275116</v>
      </c>
      <c r="K6" s="30">
        <f>J6</f>
        <v>275116</v>
      </c>
    </row>
    <row r="7" spans="1:11" ht="15" customHeight="1">
      <c r="A7" s="26">
        <v>3</v>
      </c>
      <c r="B7" s="377" t="s">
        <v>270</v>
      </c>
      <c r="C7" s="378"/>
      <c r="D7" s="378"/>
      <c r="E7" s="378"/>
      <c r="F7" s="378"/>
      <c r="G7" s="378"/>
      <c r="H7" s="378"/>
      <c r="I7" s="31"/>
      <c r="J7" s="32"/>
      <c r="K7" s="30"/>
    </row>
    <row r="8" spans="1:11" ht="14.25" customHeight="1">
      <c r="A8" s="26"/>
      <c r="B8" s="33" t="s">
        <v>42</v>
      </c>
      <c r="C8" s="367" t="s">
        <v>271</v>
      </c>
      <c r="D8" s="367"/>
      <c r="E8" s="367"/>
      <c r="F8" s="367"/>
      <c r="G8" s="367"/>
      <c r="H8" s="367"/>
      <c r="I8" s="35" t="s">
        <v>41</v>
      </c>
      <c r="J8" s="36">
        <f>IF('Data Entry Sheet'!M5="Own","",'Salary Table'!E23)</f>
        <v>20774</v>
      </c>
      <c r="K8" s="30"/>
    </row>
    <row r="9" spans="1:11" ht="14.25" customHeight="1">
      <c r="A9" s="26"/>
      <c r="B9" s="33" t="s">
        <v>44</v>
      </c>
      <c r="C9" s="60" t="str">
        <f>S18</f>
        <v>Rent paid in excess of 10% of Salary( Rent @ Rs. 3900/-  PM )</v>
      </c>
      <c r="D9" s="60"/>
      <c r="E9" s="60"/>
      <c r="F9" s="60"/>
      <c r="G9" s="60"/>
      <c r="H9" s="103"/>
      <c r="I9" s="35" t="s">
        <v>41</v>
      </c>
      <c r="J9" s="36">
        <f>IF('Data Entry Sheet'!M5="Own","",Q14)</f>
        <v>21366</v>
      </c>
      <c r="K9" s="30"/>
    </row>
    <row r="10" spans="1:39" ht="14.25" customHeight="1">
      <c r="A10" s="26"/>
      <c r="B10" s="33" t="s">
        <v>47</v>
      </c>
      <c r="C10" s="367" t="s">
        <v>272</v>
      </c>
      <c r="D10" s="367"/>
      <c r="E10" s="367"/>
      <c r="F10" s="367"/>
      <c r="G10" s="367"/>
      <c r="H10" s="367"/>
      <c r="I10" s="35" t="s">
        <v>41</v>
      </c>
      <c r="J10" s="36">
        <f>IF('Data Entry Sheet'!M5="Own","",Q12)</f>
        <v>101737</v>
      </c>
      <c r="K10" s="37">
        <f>MIN(J8,J9,J10)</f>
        <v>20774</v>
      </c>
      <c r="Q10" s="117" t="s">
        <v>367</v>
      </c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</row>
    <row r="11" spans="1:39" ht="15" customHeight="1">
      <c r="A11" s="26">
        <v>4</v>
      </c>
      <c r="B11" s="368" t="s">
        <v>273</v>
      </c>
      <c r="C11" s="369"/>
      <c r="D11" s="369"/>
      <c r="E11" s="369"/>
      <c r="F11" s="369"/>
      <c r="G11" s="369"/>
      <c r="H11" s="369"/>
      <c r="I11" s="31" t="s">
        <v>41</v>
      </c>
      <c r="J11" s="32"/>
      <c r="K11" s="38">
        <f>K6-K10</f>
        <v>254342</v>
      </c>
      <c r="Q11" s="117">
        <f>'Salary Table'!B23+'Salary Table'!D23</f>
        <v>254342</v>
      </c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</row>
    <row r="12" spans="1:39" ht="15" customHeight="1">
      <c r="A12" s="26">
        <v>5</v>
      </c>
      <c r="B12" s="368" t="s">
        <v>274</v>
      </c>
      <c r="C12" s="369"/>
      <c r="D12" s="369"/>
      <c r="E12" s="369"/>
      <c r="F12" s="369"/>
      <c r="G12" s="369"/>
      <c r="H12" s="369"/>
      <c r="I12" s="31"/>
      <c r="J12" s="32"/>
      <c r="K12" s="30"/>
      <c r="P12" s="118">
        <v>0.4</v>
      </c>
      <c r="Q12" s="117">
        <f>ROUND(Q11*P12,0)</f>
        <v>101737</v>
      </c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</row>
    <row r="13" spans="1:39" ht="14.25" customHeight="1">
      <c r="A13" s="26"/>
      <c r="B13" s="33" t="s">
        <v>42</v>
      </c>
      <c r="C13" s="376" t="s">
        <v>275</v>
      </c>
      <c r="D13" s="376"/>
      <c r="E13" s="376"/>
      <c r="F13" s="376"/>
      <c r="G13" s="376"/>
      <c r="H13" s="376"/>
      <c r="I13" s="35" t="s">
        <v>41</v>
      </c>
      <c r="J13" s="39">
        <f>'Salary Table'!G23</f>
        <v>0</v>
      </c>
      <c r="K13" s="30"/>
      <c r="P13" s="118">
        <v>0.1</v>
      </c>
      <c r="Q13" s="117">
        <f>ROUND(Q11*P13,0)</f>
        <v>25434</v>
      </c>
      <c r="R13" s="119">
        <f>J8</f>
        <v>20774</v>
      </c>
      <c r="S13" s="119">
        <f>Q13+R13</f>
        <v>46208</v>
      </c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</row>
    <row r="14" spans="1:39" ht="14.25" customHeight="1">
      <c r="A14" s="26"/>
      <c r="B14" s="33" t="s">
        <v>44</v>
      </c>
      <c r="C14" s="367" t="s">
        <v>276</v>
      </c>
      <c r="D14" s="367"/>
      <c r="E14" s="367"/>
      <c r="F14" s="367"/>
      <c r="G14" s="367"/>
      <c r="H14" s="34"/>
      <c r="I14" s="35" t="s">
        <v>41</v>
      </c>
      <c r="J14" s="36">
        <f>'Salary Table'!N23</f>
        <v>2200</v>
      </c>
      <c r="K14" s="37">
        <f>J13+J14</f>
        <v>2200</v>
      </c>
      <c r="Q14" s="117">
        <f>(T16*12)-Q13</f>
        <v>21366</v>
      </c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</row>
    <row r="15" spans="1:39" ht="15" customHeight="1">
      <c r="A15" s="26">
        <v>6</v>
      </c>
      <c r="B15" s="368" t="s">
        <v>277</v>
      </c>
      <c r="C15" s="369"/>
      <c r="D15" s="369"/>
      <c r="E15" s="369"/>
      <c r="F15" s="369"/>
      <c r="G15" s="369"/>
      <c r="H15" s="369"/>
      <c r="I15" s="31" t="s">
        <v>41</v>
      </c>
      <c r="J15" s="32"/>
      <c r="K15" s="40">
        <f>K11-K14</f>
        <v>252142</v>
      </c>
      <c r="R15" s="117">
        <f>INT(S13/12)</f>
        <v>3850</v>
      </c>
      <c r="S15" s="120">
        <f>INT(RIGHT(R15,2))</f>
        <v>50</v>
      </c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</row>
    <row r="16" spans="1:39" ht="14.25" customHeight="1">
      <c r="A16" s="26">
        <v>7</v>
      </c>
      <c r="B16" s="366" t="s">
        <v>278</v>
      </c>
      <c r="C16" s="367"/>
      <c r="D16" s="367"/>
      <c r="E16" s="367"/>
      <c r="F16" s="367"/>
      <c r="G16" s="367"/>
      <c r="H16" s="367"/>
      <c r="I16" s="31" t="s">
        <v>41</v>
      </c>
      <c r="J16" s="32"/>
      <c r="K16" s="30">
        <v>0</v>
      </c>
      <c r="S16" s="117">
        <f>100-S15</f>
        <v>50</v>
      </c>
      <c r="T16" s="117">
        <f>R15+S16</f>
        <v>3900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</row>
    <row r="17" spans="1:39" ht="14.25" customHeight="1">
      <c r="A17" s="26">
        <v>8</v>
      </c>
      <c r="B17" s="366" t="s">
        <v>279</v>
      </c>
      <c r="C17" s="367"/>
      <c r="D17" s="367"/>
      <c r="E17" s="367"/>
      <c r="F17" s="367"/>
      <c r="G17" s="367"/>
      <c r="H17" s="367"/>
      <c r="I17" s="31" t="s">
        <v>41</v>
      </c>
      <c r="J17" s="32"/>
      <c r="K17" s="30">
        <v>0</v>
      </c>
      <c r="S17" s="117">
        <f>IF('Data Entry Sheet'!M5="Own","",IF(T17&gt;T16,T17,T16))</f>
        <v>3900</v>
      </c>
      <c r="T17" s="117">
        <f>'Data Entry Sheet'!F10</f>
        <v>0</v>
      </c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</row>
    <row r="18" spans="1:39" ht="14.25" customHeight="1">
      <c r="A18" s="26">
        <v>9</v>
      </c>
      <c r="B18" s="366" t="s">
        <v>280</v>
      </c>
      <c r="C18" s="367"/>
      <c r="D18" s="367"/>
      <c r="E18" s="367"/>
      <c r="F18" s="367"/>
      <c r="G18" s="367"/>
      <c r="H18" s="367"/>
      <c r="I18" s="31" t="s">
        <v>41</v>
      </c>
      <c r="J18" s="32">
        <v>0</v>
      </c>
      <c r="K18" s="37">
        <v>0</v>
      </c>
      <c r="S18" s="117" t="str">
        <f>CONCATENATE("Rent paid in excess of 10% of Salary( Rent @ Rs. ",S17,"/-  PM )")</f>
        <v>Rent paid in excess of 10% of Salary( Rent @ Rs. 3900/-  PM )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1:39" ht="15" customHeight="1">
      <c r="A19" s="26">
        <v>10</v>
      </c>
      <c r="B19" s="368" t="s">
        <v>281</v>
      </c>
      <c r="C19" s="369"/>
      <c r="D19" s="369"/>
      <c r="E19" s="369"/>
      <c r="F19" s="369"/>
      <c r="G19" s="369"/>
      <c r="H19" s="369"/>
      <c r="I19" s="31" t="s">
        <v>41</v>
      </c>
      <c r="J19" s="32"/>
      <c r="K19" s="38">
        <f>K15+K16+K17+K18</f>
        <v>252142</v>
      </c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</row>
    <row r="20" spans="1:11" ht="15" customHeight="1">
      <c r="A20" s="26">
        <v>11</v>
      </c>
      <c r="B20" s="368" t="s">
        <v>56</v>
      </c>
      <c r="C20" s="369"/>
      <c r="D20" s="369"/>
      <c r="E20" s="369"/>
      <c r="F20" s="369"/>
      <c r="G20" s="369"/>
      <c r="H20" s="369"/>
      <c r="I20" s="31"/>
      <c r="J20" s="32"/>
      <c r="K20" s="30"/>
    </row>
    <row r="21" spans="1:11" ht="14.25" customHeight="1">
      <c r="A21" s="26"/>
      <c r="B21" s="33" t="s">
        <v>42</v>
      </c>
      <c r="C21" s="375" t="s">
        <v>282</v>
      </c>
      <c r="D21" s="375"/>
      <c r="E21" s="375"/>
      <c r="F21" s="375"/>
      <c r="G21" s="375"/>
      <c r="H21" s="42"/>
      <c r="I21" s="43" t="s">
        <v>41</v>
      </c>
      <c r="J21" s="44">
        <f>'Form-16 back'!J6</f>
        <v>0</v>
      </c>
      <c r="K21" s="30"/>
    </row>
    <row r="22" spans="1:11" ht="14.25" customHeight="1">
      <c r="A22" s="26"/>
      <c r="B22" s="33" t="s">
        <v>44</v>
      </c>
      <c r="C22" s="375" t="s">
        <v>283</v>
      </c>
      <c r="D22" s="375"/>
      <c r="E22" s="375"/>
      <c r="F22" s="375"/>
      <c r="G22" s="375"/>
      <c r="H22" s="42"/>
      <c r="I22" s="43" t="s">
        <v>41</v>
      </c>
      <c r="J22" s="44">
        <f>'Form-16 back'!J4</f>
        <v>0</v>
      </c>
      <c r="K22" s="30"/>
    </row>
    <row r="23" spans="1:11" ht="14.25" customHeight="1">
      <c r="A23" s="26"/>
      <c r="B23" s="33" t="s">
        <v>47</v>
      </c>
      <c r="C23" s="375" t="s">
        <v>284</v>
      </c>
      <c r="D23" s="375"/>
      <c r="E23" s="375"/>
      <c r="F23" s="375"/>
      <c r="G23" s="375"/>
      <c r="H23" s="42"/>
      <c r="I23" s="43" t="s">
        <v>41</v>
      </c>
      <c r="J23" s="44">
        <v>0</v>
      </c>
      <c r="K23" s="30"/>
    </row>
    <row r="24" spans="1:11" ht="14.25" customHeight="1">
      <c r="A24" s="26"/>
      <c r="B24" s="33" t="s">
        <v>50</v>
      </c>
      <c r="C24" s="375" t="s">
        <v>118</v>
      </c>
      <c r="D24" s="375"/>
      <c r="E24" s="375"/>
      <c r="F24" s="375"/>
      <c r="G24" s="375"/>
      <c r="H24" s="42"/>
      <c r="I24" s="43" t="s">
        <v>41</v>
      </c>
      <c r="J24" s="44">
        <v>0</v>
      </c>
      <c r="K24" s="30"/>
    </row>
    <row r="25" spans="1:11" ht="14.25" customHeight="1">
      <c r="A25" s="26"/>
      <c r="B25" s="33" t="s">
        <v>285</v>
      </c>
      <c r="C25" s="375" t="s">
        <v>119</v>
      </c>
      <c r="D25" s="375"/>
      <c r="E25" s="375"/>
      <c r="F25" s="375"/>
      <c r="G25" s="375"/>
      <c r="H25" s="42"/>
      <c r="I25" s="43" t="s">
        <v>41</v>
      </c>
      <c r="J25" s="44">
        <v>0</v>
      </c>
      <c r="K25" s="30"/>
    </row>
    <row r="26" spans="1:11" ht="14.25" customHeight="1">
      <c r="A26" s="26"/>
      <c r="B26" s="33" t="s">
        <v>286</v>
      </c>
      <c r="C26" s="375" t="s">
        <v>287</v>
      </c>
      <c r="D26" s="375"/>
      <c r="E26" s="375"/>
      <c r="F26" s="375"/>
      <c r="G26" s="375"/>
      <c r="H26" s="41"/>
      <c r="I26" s="43" t="s">
        <v>41</v>
      </c>
      <c r="J26" s="44">
        <v>0</v>
      </c>
      <c r="K26" s="30"/>
    </row>
    <row r="27" spans="1:11" ht="14.25" customHeight="1">
      <c r="A27" s="26"/>
      <c r="B27" s="33" t="s">
        <v>288</v>
      </c>
      <c r="C27" s="375" t="s">
        <v>289</v>
      </c>
      <c r="D27" s="375"/>
      <c r="E27" s="375"/>
      <c r="F27" s="375"/>
      <c r="G27" s="375"/>
      <c r="H27" s="41"/>
      <c r="I27" s="43" t="s">
        <v>41</v>
      </c>
      <c r="J27" s="44"/>
      <c r="K27" s="30"/>
    </row>
    <row r="28" spans="1:11" ht="14.25" customHeight="1">
      <c r="A28" s="26"/>
      <c r="B28" s="33" t="s">
        <v>290</v>
      </c>
      <c r="C28" s="375" t="s">
        <v>291</v>
      </c>
      <c r="D28" s="375"/>
      <c r="E28" s="375"/>
      <c r="F28" s="375"/>
      <c r="G28" s="375"/>
      <c r="H28" s="375"/>
      <c r="I28" s="45" t="s">
        <v>41</v>
      </c>
      <c r="J28" s="46">
        <v>40</v>
      </c>
      <c r="K28" s="30"/>
    </row>
    <row r="29" spans="1:11" ht="15" customHeight="1">
      <c r="A29" s="26"/>
      <c r="B29" s="368" t="s">
        <v>292</v>
      </c>
      <c r="C29" s="369"/>
      <c r="D29" s="369"/>
      <c r="E29" s="369"/>
      <c r="F29" s="369"/>
      <c r="G29" s="369"/>
      <c r="H29" s="369"/>
      <c r="I29" s="47" t="s">
        <v>41</v>
      </c>
      <c r="J29" s="48">
        <v>40</v>
      </c>
      <c r="K29" s="37">
        <v>40</v>
      </c>
    </row>
    <row r="30" spans="1:11" ht="15" customHeight="1">
      <c r="A30" s="26">
        <v>12</v>
      </c>
      <c r="B30" s="368" t="s">
        <v>293</v>
      </c>
      <c r="C30" s="369"/>
      <c r="D30" s="369"/>
      <c r="E30" s="369"/>
      <c r="F30" s="369"/>
      <c r="G30" s="369"/>
      <c r="H30" s="369"/>
      <c r="I30" s="31" t="s">
        <v>41</v>
      </c>
      <c r="J30" s="32"/>
      <c r="K30" s="38">
        <f>K19-K29</f>
        <v>252102</v>
      </c>
    </row>
    <row r="31" spans="1:11" ht="15" customHeight="1">
      <c r="A31" s="26">
        <v>13</v>
      </c>
      <c r="B31" s="368" t="s">
        <v>294</v>
      </c>
      <c r="C31" s="369"/>
      <c r="D31" s="369"/>
      <c r="E31" s="369"/>
      <c r="F31" s="369"/>
      <c r="G31" s="369"/>
      <c r="H31" s="369"/>
      <c r="I31" s="31"/>
      <c r="J31" s="32"/>
      <c r="K31" s="30"/>
    </row>
    <row r="32" spans="1:11" ht="14.25" customHeight="1">
      <c r="A32" s="26"/>
      <c r="B32" s="33" t="s">
        <v>42</v>
      </c>
      <c r="C32" s="375" t="s">
        <v>295</v>
      </c>
      <c r="D32" s="375"/>
      <c r="E32" s="375"/>
      <c r="F32" s="49"/>
      <c r="G32" s="41"/>
      <c r="H32" s="50"/>
      <c r="I32" s="35" t="s">
        <v>41</v>
      </c>
      <c r="J32" s="44">
        <f>IF('Data Entry Sheet'!P16=1,'Salary Table'!K23,'Salary Table'!P23)</f>
        <v>25104</v>
      </c>
      <c r="K32" s="30"/>
    </row>
    <row r="33" spans="1:11" ht="14.25" customHeight="1">
      <c r="A33" s="26"/>
      <c r="B33" s="33" t="s">
        <v>44</v>
      </c>
      <c r="C33" s="375" t="s">
        <v>10</v>
      </c>
      <c r="D33" s="375"/>
      <c r="E33" s="41"/>
      <c r="F33" s="51"/>
      <c r="G33" s="50"/>
      <c r="H33" s="50"/>
      <c r="I33" s="35" t="s">
        <v>41</v>
      </c>
      <c r="J33" s="44">
        <f>'Salary Table'!L23</f>
        <v>6000</v>
      </c>
      <c r="K33" s="30"/>
    </row>
    <row r="34" spans="1:11" ht="14.25" customHeight="1">
      <c r="A34" s="26"/>
      <c r="B34" s="33" t="s">
        <v>47</v>
      </c>
      <c r="C34" s="41" t="s">
        <v>296</v>
      </c>
      <c r="D34" s="41"/>
      <c r="E34" s="41"/>
      <c r="F34" s="41"/>
      <c r="G34" s="41"/>
      <c r="H34" s="41"/>
      <c r="I34" s="35" t="s">
        <v>41</v>
      </c>
      <c r="J34" s="44">
        <f>'Salary Table'!M23</f>
        <v>360</v>
      </c>
      <c r="K34" s="30"/>
    </row>
    <row r="35" spans="1:11" ht="14.25" customHeight="1">
      <c r="A35" s="26"/>
      <c r="B35" s="33" t="s">
        <v>50</v>
      </c>
      <c r="C35" s="375" t="s">
        <v>297</v>
      </c>
      <c r="D35" s="375"/>
      <c r="E35" s="375"/>
      <c r="F35" s="375"/>
      <c r="G35" s="375"/>
      <c r="H35" s="375"/>
      <c r="I35" s="35" t="s">
        <v>41</v>
      </c>
      <c r="J35" s="44">
        <f>'Salary Table'!Q23</f>
        <v>25500</v>
      </c>
      <c r="K35" s="30"/>
    </row>
    <row r="36" spans="1:11" ht="14.25" customHeight="1">
      <c r="A36" s="26"/>
      <c r="B36" s="33" t="s">
        <v>285</v>
      </c>
      <c r="C36" s="375" t="s">
        <v>298</v>
      </c>
      <c r="D36" s="375"/>
      <c r="E36" s="375"/>
      <c r="F36" s="375"/>
      <c r="G36" s="375"/>
      <c r="H36" s="375"/>
      <c r="I36" s="35" t="s">
        <v>41</v>
      </c>
      <c r="J36" s="44">
        <f>'Salary Table'!U23</f>
        <v>0</v>
      </c>
      <c r="K36" s="30"/>
    </row>
    <row r="37" spans="1:11" ht="14.25" customHeight="1">
      <c r="A37" s="26"/>
      <c r="B37" s="33" t="s">
        <v>286</v>
      </c>
      <c r="C37" s="41" t="s">
        <v>299</v>
      </c>
      <c r="D37" s="41"/>
      <c r="E37" s="41"/>
      <c r="F37" s="41"/>
      <c r="G37" s="41"/>
      <c r="H37" s="41"/>
      <c r="I37" s="35" t="s">
        <v>41</v>
      </c>
      <c r="J37" s="44">
        <f>'Form-16 Front'!K51</f>
        <v>0</v>
      </c>
      <c r="K37" s="30"/>
    </row>
    <row r="38" spans="1:11" ht="14.25" customHeight="1">
      <c r="A38" s="26"/>
      <c r="B38" s="33" t="s">
        <v>288</v>
      </c>
      <c r="C38" s="41" t="s">
        <v>300</v>
      </c>
      <c r="D38" s="41"/>
      <c r="E38" s="41"/>
      <c r="F38" s="41"/>
      <c r="G38" s="41"/>
      <c r="H38" s="41"/>
      <c r="I38" s="35" t="s">
        <v>41</v>
      </c>
      <c r="J38" s="44">
        <f>'Salary Table'!T23</f>
        <v>0</v>
      </c>
      <c r="K38" s="30"/>
    </row>
    <row r="39" spans="1:11" ht="14.25" customHeight="1">
      <c r="A39" s="26"/>
      <c r="B39" s="33" t="s">
        <v>290</v>
      </c>
      <c r="C39" s="41" t="s">
        <v>301</v>
      </c>
      <c r="D39" s="41"/>
      <c r="E39" s="41"/>
      <c r="F39" s="41"/>
      <c r="G39" s="41"/>
      <c r="H39" s="41"/>
      <c r="I39" s="35" t="s">
        <v>41</v>
      </c>
      <c r="J39" s="44">
        <f>'Salary Table'!R23</f>
        <v>0</v>
      </c>
      <c r="K39" s="30"/>
    </row>
    <row r="40" spans="1:11" ht="14.25" customHeight="1">
      <c r="A40" s="26"/>
      <c r="B40" s="33" t="s">
        <v>302</v>
      </c>
      <c r="C40" s="41" t="s">
        <v>303</v>
      </c>
      <c r="D40" s="41"/>
      <c r="E40" s="41"/>
      <c r="F40" s="41"/>
      <c r="G40" s="41"/>
      <c r="H40" s="41"/>
      <c r="I40" s="35" t="s">
        <v>41</v>
      </c>
      <c r="J40" s="44">
        <f>'Form-16 Front'!K53</f>
        <v>0</v>
      </c>
      <c r="K40" s="30"/>
    </row>
    <row r="41" spans="1:11" ht="14.25" customHeight="1">
      <c r="A41" s="26"/>
      <c r="B41" s="33" t="s">
        <v>304</v>
      </c>
      <c r="C41" s="41" t="s">
        <v>305</v>
      </c>
      <c r="D41" s="41"/>
      <c r="E41" s="41"/>
      <c r="F41" s="41"/>
      <c r="G41" s="41"/>
      <c r="H41" s="41"/>
      <c r="I41" s="35" t="s">
        <v>41</v>
      </c>
      <c r="J41" s="44">
        <f>'Form-16 Front'!K54</f>
        <v>0</v>
      </c>
      <c r="K41" s="30"/>
    </row>
    <row r="42" spans="1:11" ht="14.25" customHeight="1">
      <c r="A42" s="26"/>
      <c r="B42" s="33" t="s">
        <v>306</v>
      </c>
      <c r="C42" s="41" t="s">
        <v>415</v>
      </c>
      <c r="D42" s="41"/>
      <c r="E42" s="50"/>
      <c r="F42" s="50"/>
      <c r="G42" s="50"/>
      <c r="H42" s="41" t="s">
        <v>307</v>
      </c>
      <c r="I42" s="52" t="s">
        <v>41</v>
      </c>
      <c r="J42" s="44">
        <f>'Form-16 Front'!K55+'Form-16 Front'!K56</f>
        <v>0</v>
      </c>
      <c r="K42" s="30"/>
    </row>
    <row r="43" spans="1:11" ht="15" customHeight="1">
      <c r="A43" s="26"/>
      <c r="B43" s="368" t="s">
        <v>308</v>
      </c>
      <c r="C43" s="369"/>
      <c r="D43" s="369"/>
      <c r="E43" s="369"/>
      <c r="F43" s="27"/>
      <c r="G43" s="27"/>
      <c r="H43" s="53"/>
      <c r="I43" s="47" t="s">
        <v>41</v>
      </c>
      <c r="J43" s="48">
        <f>SUM(J32:J42)</f>
        <v>56964</v>
      </c>
      <c r="K43" s="54">
        <f>IF(J43&lt;100000,J43,100000)</f>
        <v>56964</v>
      </c>
    </row>
    <row r="44" spans="1:11" ht="15" customHeight="1">
      <c r="A44" s="26">
        <v>14</v>
      </c>
      <c r="B44" s="368" t="s">
        <v>319</v>
      </c>
      <c r="C44" s="369"/>
      <c r="D44" s="369"/>
      <c r="E44" s="369"/>
      <c r="F44" s="369"/>
      <c r="G44" s="369"/>
      <c r="H44" s="369"/>
      <c r="I44" s="55" t="s">
        <v>41</v>
      </c>
      <c r="J44" s="56"/>
      <c r="K44" s="57">
        <f>K30-K43</f>
        <v>195138</v>
      </c>
    </row>
    <row r="45" spans="1:11" ht="15" customHeight="1">
      <c r="A45" s="26">
        <v>15</v>
      </c>
      <c r="B45" s="368" t="s">
        <v>309</v>
      </c>
      <c r="C45" s="369"/>
      <c r="D45" s="369"/>
      <c r="E45" s="369"/>
      <c r="F45" s="369"/>
      <c r="G45" s="369"/>
      <c r="H45" s="27"/>
      <c r="I45" s="35"/>
      <c r="J45" s="58"/>
      <c r="K45" s="59"/>
    </row>
    <row r="46" spans="1:11" ht="14.25" customHeight="1">
      <c r="A46" s="26"/>
      <c r="B46" s="33" t="s">
        <v>42</v>
      </c>
      <c r="C46" s="374" t="s">
        <v>345</v>
      </c>
      <c r="D46" s="374"/>
      <c r="E46" s="374"/>
      <c r="F46" s="374"/>
      <c r="G46" s="374"/>
      <c r="H46" s="61"/>
      <c r="I46" s="35" t="s">
        <v>41</v>
      </c>
      <c r="J46" s="58"/>
      <c r="K46" s="62">
        <v>0</v>
      </c>
    </row>
    <row r="47" spans="1:11" ht="14.25" customHeight="1">
      <c r="A47" s="26"/>
      <c r="B47" s="33" t="s">
        <v>44</v>
      </c>
      <c r="C47" s="374" t="s">
        <v>346</v>
      </c>
      <c r="D47" s="374"/>
      <c r="E47" s="374"/>
      <c r="F47" s="374"/>
      <c r="G47" s="374"/>
      <c r="H47" s="61"/>
      <c r="I47" s="35" t="s">
        <v>41</v>
      </c>
      <c r="J47" s="58"/>
      <c r="K47" s="59">
        <f>IF(K44&lt;=200000,0,IF(K44&lt;=500000,ROUND((K44-200000)*10%,0),30000))</f>
        <v>0</v>
      </c>
    </row>
    <row r="48" spans="1:11" ht="14.25" customHeight="1">
      <c r="A48" s="26"/>
      <c r="B48" s="33" t="s">
        <v>47</v>
      </c>
      <c r="C48" s="374" t="s">
        <v>409</v>
      </c>
      <c r="D48" s="374"/>
      <c r="E48" s="374"/>
      <c r="F48" s="374"/>
      <c r="G48" s="374"/>
      <c r="H48" s="50"/>
      <c r="I48" s="35" t="s">
        <v>41</v>
      </c>
      <c r="J48" s="58"/>
      <c r="K48" s="62">
        <f>IF(K44&lt;=500000,0,IF(AND(K44&gt;500000,K44&lt;=1000000),ROUND((K44-500000)*20%,0),100000))</f>
        <v>0</v>
      </c>
    </row>
    <row r="49" spans="1:11" ht="14.25" customHeight="1">
      <c r="A49" s="26"/>
      <c r="B49" s="33" t="s">
        <v>50</v>
      </c>
      <c r="C49" s="365" t="s">
        <v>410</v>
      </c>
      <c r="D49" s="365"/>
      <c r="E49" s="365"/>
      <c r="F49" s="365"/>
      <c r="G49" s="365"/>
      <c r="H49" s="50"/>
      <c r="I49" s="35" t="s">
        <v>41</v>
      </c>
      <c r="J49" s="58"/>
      <c r="K49" s="59">
        <f>IF(K44&lt;=1000000,0,ROUND((K44-1000000)*30%,0))</f>
        <v>0</v>
      </c>
    </row>
    <row r="50" spans="1:11" ht="14.25" customHeight="1">
      <c r="A50" s="26">
        <v>16</v>
      </c>
      <c r="B50" s="366" t="s">
        <v>310</v>
      </c>
      <c r="C50" s="367"/>
      <c r="D50" s="367"/>
      <c r="E50" s="367"/>
      <c r="F50" s="367"/>
      <c r="G50" s="367"/>
      <c r="H50" s="50"/>
      <c r="I50" s="35" t="s">
        <v>41</v>
      </c>
      <c r="J50" s="58"/>
      <c r="K50" s="59">
        <f>ROUND(SUM(K46:K49)*1%,0)</f>
        <v>0</v>
      </c>
    </row>
    <row r="51" spans="1:11" ht="14.25" customHeight="1">
      <c r="A51" s="26">
        <v>17</v>
      </c>
      <c r="B51" s="366" t="s">
        <v>311</v>
      </c>
      <c r="C51" s="367"/>
      <c r="D51" s="367"/>
      <c r="E51" s="367"/>
      <c r="F51" s="367"/>
      <c r="G51" s="367"/>
      <c r="H51" s="50"/>
      <c r="I51" s="35" t="s">
        <v>41</v>
      </c>
      <c r="J51" s="58"/>
      <c r="K51" s="59">
        <f>ROUND(SUM(K46:K49)*2%,0)</f>
        <v>0</v>
      </c>
    </row>
    <row r="52" spans="1:19" ht="14.25" customHeight="1">
      <c r="A52" s="26">
        <v>18</v>
      </c>
      <c r="B52" s="368" t="s">
        <v>312</v>
      </c>
      <c r="C52" s="369"/>
      <c r="D52" s="369"/>
      <c r="E52" s="369"/>
      <c r="F52" s="369"/>
      <c r="G52" s="369"/>
      <c r="H52" s="63"/>
      <c r="I52" s="35" t="s">
        <v>41</v>
      </c>
      <c r="J52" s="58"/>
      <c r="K52" s="59">
        <f>P55</f>
        <v>0</v>
      </c>
      <c r="O52" s="119">
        <f>SUM(K47:K51)</f>
        <v>0</v>
      </c>
      <c r="R52" s="117">
        <v>0</v>
      </c>
      <c r="S52" s="117">
        <v>0</v>
      </c>
    </row>
    <row r="53" spans="1:21" ht="14.25" customHeight="1">
      <c r="A53" s="26">
        <v>19</v>
      </c>
      <c r="B53" s="368" t="s">
        <v>313</v>
      </c>
      <c r="C53" s="369"/>
      <c r="D53" s="369"/>
      <c r="E53" s="369"/>
      <c r="F53" s="369"/>
      <c r="G53" s="369"/>
      <c r="H53" s="63"/>
      <c r="I53" s="35" t="s">
        <v>41</v>
      </c>
      <c r="J53" s="58"/>
      <c r="K53" s="59">
        <v>0</v>
      </c>
      <c r="O53" s="137">
        <f>INT(RIGHT(O52,1))</f>
        <v>0</v>
      </c>
      <c r="R53" s="117">
        <v>9</v>
      </c>
      <c r="S53" s="117">
        <v>1</v>
      </c>
      <c r="U53" s="117">
        <f>VLOOKUP(O53,R52:S61,2)</f>
        <v>0</v>
      </c>
    </row>
    <row r="54" spans="1:19" ht="14.25" customHeight="1">
      <c r="A54" s="26"/>
      <c r="B54" s="33" t="s">
        <v>314</v>
      </c>
      <c r="C54" s="60"/>
      <c r="D54" s="372" t="s">
        <v>368</v>
      </c>
      <c r="E54" s="372"/>
      <c r="F54" s="64" t="s">
        <v>41</v>
      </c>
      <c r="G54" s="65">
        <f>'Form-16 Front'!F14</f>
        <v>0</v>
      </c>
      <c r="H54" s="61"/>
      <c r="I54" s="66"/>
      <c r="J54" s="67"/>
      <c r="K54" s="68"/>
      <c r="P54" s="137">
        <f>IF(O53&gt;=5,10-O53,O53)</f>
        <v>0</v>
      </c>
      <c r="R54" s="117">
        <v>8</v>
      </c>
      <c r="S54" s="117">
        <v>2</v>
      </c>
    </row>
    <row r="55" spans="1:19" ht="14.25" customHeight="1">
      <c r="A55" s="26"/>
      <c r="B55" s="33" t="s">
        <v>315</v>
      </c>
      <c r="C55" s="69"/>
      <c r="D55" s="372" t="s">
        <v>369</v>
      </c>
      <c r="E55" s="372"/>
      <c r="F55" s="64" t="s">
        <v>41</v>
      </c>
      <c r="G55" s="65">
        <f>'Form-16 Front'!F15</f>
        <v>0</v>
      </c>
      <c r="H55" s="61"/>
      <c r="I55" s="66"/>
      <c r="J55" s="67"/>
      <c r="K55" s="68"/>
      <c r="P55" s="119">
        <f>IF(O53&gt;=5,O52+P54,O52-P54)</f>
        <v>0</v>
      </c>
      <c r="R55" s="117">
        <v>7</v>
      </c>
      <c r="S55" s="117">
        <v>3</v>
      </c>
    </row>
    <row r="56" spans="1:19" ht="14.25" customHeight="1">
      <c r="A56" s="26"/>
      <c r="B56" s="33" t="s">
        <v>316</v>
      </c>
      <c r="C56" s="69"/>
      <c r="D56" s="372" t="s">
        <v>370</v>
      </c>
      <c r="E56" s="372"/>
      <c r="F56" s="64" t="s">
        <v>41</v>
      </c>
      <c r="G56" s="65">
        <f>'Form-16 Front'!F16</f>
        <v>0</v>
      </c>
      <c r="H56" s="61"/>
      <c r="I56" s="66"/>
      <c r="J56" s="67"/>
      <c r="K56" s="68"/>
      <c r="R56" s="117">
        <v>6</v>
      </c>
      <c r="S56" s="117">
        <v>4</v>
      </c>
    </row>
    <row r="57" spans="1:19" ht="14.25" customHeight="1">
      <c r="A57" s="26"/>
      <c r="B57" s="33" t="s">
        <v>317</v>
      </c>
      <c r="C57" s="60"/>
      <c r="D57" s="373" t="s">
        <v>371</v>
      </c>
      <c r="E57" s="373"/>
      <c r="F57" s="70" t="s">
        <v>41</v>
      </c>
      <c r="G57" s="65">
        <f>'Form-16 Front'!F17</f>
        <v>0</v>
      </c>
      <c r="H57" s="61"/>
      <c r="I57" s="66"/>
      <c r="J57" s="67"/>
      <c r="K57" s="68"/>
      <c r="R57" s="117">
        <v>5</v>
      </c>
      <c r="S57" s="117">
        <v>5</v>
      </c>
    </row>
    <row r="58" spans="1:19" ht="15" customHeight="1">
      <c r="A58" s="71">
        <v>20</v>
      </c>
      <c r="B58" s="361" t="s">
        <v>318</v>
      </c>
      <c r="C58" s="362"/>
      <c r="D58" s="362"/>
      <c r="E58" s="362"/>
      <c r="F58" s="362"/>
      <c r="G58" s="362"/>
      <c r="H58" s="72"/>
      <c r="I58" s="73" t="s">
        <v>41</v>
      </c>
      <c r="J58" s="74"/>
      <c r="K58" s="75">
        <f>K52-SUM(G54:G57)</f>
        <v>0</v>
      </c>
      <c r="R58" s="117">
        <v>4</v>
      </c>
      <c r="S58" s="117">
        <v>6</v>
      </c>
    </row>
    <row r="59" spans="1:19" ht="15.75">
      <c r="A59" s="76"/>
      <c r="B59" s="77"/>
      <c r="C59" s="77"/>
      <c r="D59" s="77"/>
      <c r="E59" s="77"/>
      <c r="F59" s="77"/>
      <c r="G59" s="77"/>
      <c r="H59" s="78"/>
      <c r="I59" s="79"/>
      <c r="J59" s="79"/>
      <c r="K59" s="80"/>
      <c r="R59" s="117">
        <v>3</v>
      </c>
      <c r="S59" s="117">
        <v>7</v>
      </c>
    </row>
    <row r="60" spans="1:19" ht="16.5" thickBot="1">
      <c r="A60" s="363" t="s">
        <v>20</v>
      </c>
      <c r="B60" s="364"/>
      <c r="C60" s="364"/>
      <c r="D60" s="364"/>
      <c r="E60" s="364"/>
      <c r="F60" s="364"/>
      <c r="G60" s="364"/>
      <c r="H60" s="81"/>
      <c r="I60" s="370" t="s">
        <v>21</v>
      </c>
      <c r="J60" s="370"/>
      <c r="K60" s="371"/>
      <c r="R60" s="117">
        <v>2</v>
      </c>
      <c r="S60" s="117">
        <v>8</v>
      </c>
    </row>
    <row r="61" spans="1:19" ht="16.5" thickTop="1">
      <c r="A61" s="77"/>
      <c r="B61" s="240"/>
      <c r="C61" s="240"/>
      <c r="D61" s="240"/>
      <c r="E61" s="240"/>
      <c r="F61" s="240"/>
      <c r="G61" s="240"/>
      <c r="H61" s="78"/>
      <c r="I61" s="79"/>
      <c r="J61" s="241"/>
      <c r="K61" s="242"/>
      <c r="R61" s="117">
        <v>1</v>
      </c>
      <c r="S61" s="117">
        <v>9</v>
      </c>
    </row>
  </sheetData>
  <sheetProtection password="C71F" sheet="1"/>
  <protectedRanges>
    <protectedRange sqref="A1:E2 A3:F60 G1:K60" name="Range1_1"/>
  </protectedRanges>
  <mergeCells count="59">
    <mergeCell ref="J4:K4"/>
    <mergeCell ref="G5:I5"/>
    <mergeCell ref="J5:K5"/>
    <mergeCell ref="A1:K1"/>
    <mergeCell ref="A2:K2"/>
    <mergeCell ref="A3:C3"/>
    <mergeCell ref="D3:G3"/>
    <mergeCell ref="H3:I3"/>
    <mergeCell ref="J3:K3"/>
    <mergeCell ref="B6:H6"/>
    <mergeCell ref="B7:H7"/>
    <mergeCell ref="C8:H8"/>
    <mergeCell ref="C10:H10"/>
    <mergeCell ref="B11:H11"/>
    <mergeCell ref="A4:C4"/>
    <mergeCell ref="D4:G4"/>
    <mergeCell ref="H4:I4"/>
    <mergeCell ref="B12:H12"/>
    <mergeCell ref="C13:H13"/>
    <mergeCell ref="C14:G14"/>
    <mergeCell ref="B15:H15"/>
    <mergeCell ref="B16:H16"/>
    <mergeCell ref="B17:H17"/>
    <mergeCell ref="B18:H18"/>
    <mergeCell ref="B19:H19"/>
    <mergeCell ref="B20:H20"/>
    <mergeCell ref="C21:G21"/>
    <mergeCell ref="C22:G22"/>
    <mergeCell ref="C23:G23"/>
    <mergeCell ref="C24:G24"/>
    <mergeCell ref="C25:G25"/>
    <mergeCell ref="C26:G26"/>
    <mergeCell ref="C27:G27"/>
    <mergeCell ref="C28:H28"/>
    <mergeCell ref="B29:H29"/>
    <mergeCell ref="C48:G48"/>
    <mergeCell ref="B30:H30"/>
    <mergeCell ref="B31:H31"/>
    <mergeCell ref="C32:E32"/>
    <mergeCell ref="C33:D33"/>
    <mergeCell ref="C35:H35"/>
    <mergeCell ref="C36:H36"/>
    <mergeCell ref="I60:K60"/>
    <mergeCell ref="D54:E54"/>
    <mergeCell ref="D55:E55"/>
    <mergeCell ref="D56:E56"/>
    <mergeCell ref="D57:E57"/>
    <mergeCell ref="B43:E43"/>
    <mergeCell ref="B44:H44"/>
    <mergeCell ref="B45:G45"/>
    <mergeCell ref="C46:G46"/>
    <mergeCell ref="C47:G47"/>
    <mergeCell ref="B58:G58"/>
    <mergeCell ref="A60:G60"/>
    <mergeCell ref="C49:G49"/>
    <mergeCell ref="B50:G50"/>
    <mergeCell ref="B51:G51"/>
    <mergeCell ref="B52:G52"/>
    <mergeCell ref="B53:G53"/>
  </mergeCells>
  <printOptions horizontalCentered="1" verticalCentered="1"/>
  <pageMargins left="0.2362204724409449" right="0.2362204724409449" top="0.1968503937007874" bottom="0.1968503937007874" header="0.1968503937007874" footer="0.196850393700787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N49"/>
  <sheetViews>
    <sheetView zoomScalePageLayoutView="0" workbookViewId="0" topLeftCell="A1">
      <selection activeCell="K42" sqref="K42"/>
    </sheetView>
  </sheetViews>
  <sheetFormatPr defaultColWidth="9.140625" defaultRowHeight="15"/>
  <cols>
    <col min="1" max="1" width="9.140625" style="4" customWidth="1"/>
    <col min="2" max="2" width="15.140625" style="4" bestFit="1" customWidth="1"/>
    <col min="3" max="12" width="9.140625" style="4" customWidth="1"/>
    <col min="13" max="15" width="9.140625" style="4" hidden="1" customWidth="1"/>
    <col min="16" max="16384" width="9.140625" style="4" customWidth="1"/>
  </cols>
  <sheetData>
    <row r="1" spans="1:9" ht="21" thickTop="1">
      <c r="A1" s="400" t="s">
        <v>320</v>
      </c>
      <c r="B1" s="401"/>
      <c r="C1" s="401"/>
      <c r="D1" s="401"/>
      <c r="E1" s="401"/>
      <c r="F1" s="401"/>
      <c r="G1" s="401"/>
      <c r="H1" s="401"/>
      <c r="I1" s="402"/>
    </row>
    <row r="2" spans="1:9" ht="15">
      <c r="A2" s="5"/>
      <c r="I2" s="6"/>
    </row>
    <row r="3" spans="1:9" ht="15">
      <c r="A3" s="5"/>
      <c r="G3" s="82" t="s">
        <v>321</v>
      </c>
      <c r="H3" s="18">
        <f>'Form-16 Front'!G11</f>
      </c>
      <c r="I3" s="6"/>
    </row>
    <row r="4" spans="1:9" ht="15">
      <c r="A4" s="5"/>
      <c r="F4" s="18"/>
      <c r="I4" s="6"/>
    </row>
    <row r="5" spans="1:9" ht="6" customHeight="1">
      <c r="A5" s="5"/>
      <c r="I5" s="6"/>
    </row>
    <row r="6" spans="1:9" ht="15" customHeight="1">
      <c r="A6" s="403" t="str">
        <f>M35</f>
        <v>                                                            I , S V P K Srinivas, SGT, Avanigadda ( P.O ), Avanigadda ( Md ),  Krishna ( Dt.) - 521121,  Son/Daughter of Sri. ____________________ do here by declare that I am Paying a Monthly House Rent of Rs. 3900 ( In Words: Rupees Three Thousand Nine Hundreds Only )  For my Residential  accommodation  during  the  Financial  Year  2012-13  relevant to the Assessment Year  2013-14.</v>
      </c>
      <c r="B6" s="404"/>
      <c r="C6" s="404"/>
      <c r="D6" s="404"/>
      <c r="E6" s="404"/>
      <c r="F6" s="404"/>
      <c r="G6" s="404"/>
      <c r="H6" s="404"/>
      <c r="I6" s="405"/>
    </row>
    <row r="7" spans="1:9" ht="15">
      <c r="A7" s="403"/>
      <c r="B7" s="404"/>
      <c r="C7" s="404"/>
      <c r="D7" s="404"/>
      <c r="E7" s="404"/>
      <c r="F7" s="404"/>
      <c r="G7" s="404"/>
      <c r="H7" s="404"/>
      <c r="I7" s="405"/>
    </row>
    <row r="8" spans="1:9" ht="15">
      <c r="A8" s="403"/>
      <c r="B8" s="404"/>
      <c r="C8" s="404"/>
      <c r="D8" s="404"/>
      <c r="E8" s="404"/>
      <c r="F8" s="404"/>
      <c r="G8" s="404"/>
      <c r="H8" s="404"/>
      <c r="I8" s="405"/>
    </row>
    <row r="9" spans="1:9" ht="15">
      <c r="A9" s="403"/>
      <c r="B9" s="404"/>
      <c r="C9" s="404"/>
      <c r="D9" s="404"/>
      <c r="E9" s="404"/>
      <c r="F9" s="404"/>
      <c r="G9" s="404"/>
      <c r="H9" s="404"/>
      <c r="I9" s="405"/>
    </row>
    <row r="10" spans="1:9" ht="15">
      <c r="A10" s="403"/>
      <c r="B10" s="404"/>
      <c r="C10" s="404"/>
      <c r="D10" s="404"/>
      <c r="E10" s="404"/>
      <c r="F10" s="404"/>
      <c r="G10" s="404"/>
      <c r="H10" s="404"/>
      <c r="I10" s="405"/>
    </row>
    <row r="11" spans="1:9" ht="15">
      <c r="A11" s="403"/>
      <c r="B11" s="404"/>
      <c r="C11" s="404"/>
      <c r="D11" s="404"/>
      <c r="E11" s="404"/>
      <c r="F11" s="404"/>
      <c r="G11" s="404"/>
      <c r="H11" s="404"/>
      <c r="I11" s="405"/>
    </row>
    <row r="12" spans="1:9" ht="15">
      <c r="A12" s="403"/>
      <c r="B12" s="404"/>
      <c r="C12" s="404"/>
      <c r="D12" s="404"/>
      <c r="E12" s="404"/>
      <c r="F12" s="404"/>
      <c r="G12" s="404"/>
      <c r="H12" s="404"/>
      <c r="I12" s="405"/>
    </row>
    <row r="13" spans="1:9" ht="15">
      <c r="A13" s="403"/>
      <c r="B13" s="404"/>
      <c r="C13" s="404"/>
      <c r="D13" s="404"/>
      <c r="E13" s="404"/>
      <c r="F13" s="404"/>
      <c r="G13" s="404"/>
      <c r="H13" s="404"/>
      <c r="I13" s="405"/>
    </row>
    <row r="14" spans="1:9" ht="15">
      <c r="A14" s="403"/>
      <c r="B14" s="404"/>
      <c r="C14" s="404"/>
      <c r="D14" s="404"/>
      <c r="E14" s="404"/>
      <c r="F14" s="404"/>
      <c r="G14" s="404"/>
      <c r="H14" s="404"/>
      <c r="I14" s="405"/>
    </row>
    <row r="15" spans="1:9" ht="15">
      <c r="A15" s="403"/>
      <c r="B15" s="404"/>
      <c r="C15" s="404"/>
      <c r="D15" s="404"/>
      <c r="E15" s="404"/>
      <c r="F15" s="404"/>
      <c r="G15" s="404"/>
      <c r="H15" s="404"/>
      <c r="I15" s="405"/>
    </row>
    <row r="16" spans="1:9" ht="15">
      <c r="A16" s="403"/>
      <c r="B16" s="404"/>
      <c r="C16" s="404"/>
      <c r="D16" s="404"/>
      <c r="E16" s="404"/>
      <c r="F16" s="404"/>
      <c r="G16" s="404"/>
      <c r="H16" s="404"/>
      <c r="I16" s="405"/>
    </row>
    <row r="17" spans="1:9" ht="15">
      <c r="A17" s="139"/>
      <c r="B17" s="140"/>
      <c r="C17" s="140"/>
      <c r="D17" s="140"/>
      <c r="E17" s="140"/>
      <c r="F17" s="140"/>
      <c r="G17" s="140"/>
      <c r="H17" s="140"/>
      <c r="I17" s="141"/>
    </row>
    <row r="18" spans="1:9" ht="18.75" customHeight="1">
      <c r="A18" s="83" t="s">
        <v>322</v>
      </c>
      <c r="B18" s="145" t="str">
        <f>N29</f>
        <v>Avanigadda</v>
      </c>
      <c r="C18" s="85"/>
      <c r="D18" s="85"/>
      <c r="E18" s="85"/>
      <c r="F18" s="85"/>
      <c r="G18" s="406" t="s">
        <v>323</v>
      </c>
      <c r="H18" s="406"/>
      <c r="I18" s="407"/>
    </row>
    <row r="19" spans="1:9" ht="15">
      <c r="A19" s="83" t="s">
        <v>260</v>
      </c>
      <c r="B19" s="92">
        <f ca="1">NOW()</f>
        <v>41314.935913078705</v>
      </c>
      <c r="C19" s="85"/>
      <c r="D19" s="85"/>
      <c r="E19" s="85"/>
      <c r="F19" s="85"/>
      <c r="G19" s="85"/>
      <c r="H19" s="85"/>
      <c r="I19" s="86"/>
    </row>
    <row r="20" spans="1:14" ht="15">
      <c r="A20" s="83"/>
      <c r="B20" s="85"/>
      <c r="C20" s="85"/>
      <c r="D20" s="85"/>
      <c r="E20" s="85"/>
      <c r="F20" s="85"/>
      <c r="G20" s="85"/>
      <c r="H20" s="85"/>
      <c r="I20" s="86"/>
      <c r="N20" s="4" t="str">
        <f>'Data Entry Sheet'!D1</f>
        <v>S V P K Srinivas</v>
      </c>
    </row>
    <row r="21" spans="1:14" ht="15">
      <c r="A21" s="83"/>
      <c r="B21" s="85"/>
      <c r="C21" s="85"/>
      <c r="D21" s="85"/>
      <c r="E21" s="85"/>
      <c r="F21" s="85"/>
      <c r="G21" s="85"/>
      <c r="H21" s="85"/>
      <c r="I21" s="86"/>
      <c r="N21" s="4" t="str">
        <f>'Data Entry Sheet'!D2</f>
        <v>SGT</v>
      </c>
    </row>
    <row r="22" spans="1:14" ht="15.75" thickBot="1">
      <c r="A22" s="87"/>
      <c r="B22" s="88"/>
      <c r="C22" s="88"/>
      <c r="D22" s="88"/>
      <c r="E22" s="88"/>
      <c r="F22" s="88"/>
      <c r="G22" s="88"/>
      <c r="H22" s="88"/>
      <c r="I22" s="89"/>
      <c r="N22" s="138" t="str">
        <f>'Data Entry Sheet'!D32</f>
        <v>1-56</v>
      </c>
    </row>
    <row r="23" spans="1:14" ht="15.75" thickTop="1">
      <c r="A23" s="85"/>
      <c r="B23" s="85"/>
      <c r="C23" s="85"/>
      <c r="D23" s="85"/>
      <c r="E23" s="85"/>
      <c r="F23" s="85"/>
      <c r="G23" s="85"/>
      <c r="H23" s="85"/>
      <c r="I23" s="85"/>
      <c r="N23" s="138"/>
    </row>
    <row r="24" spans="1:14" ht="15">
      <c r="A24" s="85"/>
      <c r="B24" s="85"/>
      <c r="C24" s="85"/>
      <c r="D24" s="85"/>
      <c r="E24" s="85"/>
      <c r="F24" s="85"/>
      <c r="G24" s="85"/>
      <c r="H24" s="85"/>
      <c r="I24" s="85"/>
      <c r="N24" s="138"/>
    </row>
    <row r="25" spans="1:14" ht="15">
      <c r="A25" s="85"/>
      <c r="B25" s="85"/>
      <c r="C25" s="85"/>
      <c r="D25" s="85"/>
      <c r="E25" s="85"/>
      <c r="F25" s="85"/>
      <c r="G25" s="85"/>
      <c r="H25" s="85"/>
      <c r="I25" s="85"/>
      <c r="N25" s="138"/>
    </row>
    <row r="26" spans="1:14" ht="15">
      <c r="A26" s="85"/>
      <c r="B26" s="85"/>
      <c r="C26" s="85"/>
      <c r="D26" s="85"/>
      <c r="E26" s="85"/>
      <c r="F26" s="85"/>
      <c r="G26" s="85"/>
      <c r="H26" s="85"/>
      <c r="I26" s="85"/>
      <c r="N26" s="138"/>
    </row>
    <row r="27" ht="15.75" thickBot="1">
      <c r="N27" s="138" t="str">
        <f>'Data Entry Sheet'!D33</f>
        <v>____________________</v>
      </c>
    </row>
    <row r="28" spans="1:14" ht="21" thickTop="1">
      <c r="A28" s="400" t="s">
        <v>320</v>
      </c>
      <c r="B28" s="401"/>
      <c r="C28" s="401"/>
      <c r="D28" s="401"/>
      <c r="E28" s="401"/>
      <c r="F28" s="401"/>
      <c r="G28" s="401"/>
      <c r="H28" s="401"/>
      <c r="I28" s="402"/>
      <c r="N28" s="138" t="str">
        <f>'Data Entry Sheet'!D34</f>
        <v>Avanigadda</v>
      </c>
    </row>
    <row r="29" spans="1:14" ht="15">
      <c r="A29" s="5"/>
      <c r="I29" s="6"/>
      <c r="N29" s="138" t="str">
        <f>'Data Entry Sheet'!D35</f>
        <v>Avanigadda</v>
      </c>
    </row>
    <row r="30" spans="1:14" ht="15">
      <c r="A30" s="5"/>
      <c r="G30" s="82" t="s">
        <v>321</v>
      </c>
      <c r="H30" s="18">
        <f>H3</f>
      </c>
      <c r="I30" s="6"/>
      <c r="N30" s="138" t="str">
        <f>'Data Entry Sheet'!D36</f>
        <v>Krishna</v>
      </c>
    </row>
    <row r="31" spans="1:14" ht="15">
      <c r="A31" s="5"/>
      <c r="F31" s="18"/>
      <c r="I31" s="6"/>
      <c r="N31" s="138">
        <f>'Data Entry Sheet'!D37</f>
        <v>521121</v>
      </c>
    </row>
    <row r="32" spans="1:14" ht="15">
      <c r="A32" s="5"/>
      <c r="I32" s="6"/>
      <c r="N32" s="243">
        <f>'Annexure-I'!S17</f>
        <v>3900</v>
      </c>
    </row>
    <row r="33" spans="1:14" ht="15" customHeight="1">
      <c r="A33" s="403" t="str">
        <f>A6</f>
        <v>                                                            I , S V P K Srinivas, SGT, Avanigadda ( P.O ), Avanigadda ( Md ),  Krishna ( Dt.) - 521121,  Son/Daughter of Sri. ____________________ do here by declare that I am Paying a Monthly House Rent of Rs. 3900 ( In Words: Rupees Three Thousand Nine Hundreds Only )  For my Residential  accommodation  during  the  Financial  Year  2012-13  relevant to the Assessment Year  2013-14.</v>
      </c>
      <c r="B33" s="404"/>
      <c r="C33" s="404"/>
      <c r="D33" s="404"/>
      <c r="E33" s="404"/>
      <c r="F33" s="404"/>
      <c r="G33" s="404"/>
      <c r="H33" s="404"/>
      <c r="I33" s="405"/>
      <c r="N33" s="4" t="str">
        <f>ban(N32)</f>
        <v>Rupees Three Thousand Nine Hundreds Only</v>
      </c>
    </row>
    <row r="34" spans="1:9" ht="15">
      <c r="A34" s="403"/>
      <c r="B34" s="404"/>
      <c r="C34" s="404"/>
      <c r="D34" s="404"/>
      <c r="E34" s="404"/>
      <c r="F34" s="404"/>
      <c r="G34" s="404"/>
      <c r="H34" s="404"/>
      <c r="I34" s="405"/>
    </row>
    <row r="35" spans="1:13" ht="15">
      <c r="A35" s="403"/>
      <c r="B35" s="404"/>
      <c r="C35" s="404"/>
      <c r="D35" s="404"/>
      <c r="E35" s="404"/>
      <c r="F35" s="404"/>
      <c r="G35" s="404"/>
      <c r="H35" s="404"/>
      <c r="I35" s="405"/>
      <c r="M35" s="4" t="str">
        <f>CONCATENATE("                                                            I , ",N20,", ",N21,", ",N28," ( P.O ), ",N29," ( Md ),  ",N30," ( Dt.) ","- ",N31,",  Son/Daughter of Sri. ",N27," do here by declare that I am Paying a Monthly House Rent of Rs. ",N32," ( In Words: ",N33," )  For my Residential  accommodation  during  the  Financial  Year  2012-13  relevant to the Assessment Year  2013-14.")</f>
        <v>                                                            I , S V P K Srinivas, SGT, Avanigadda ( P.O ), Avanigadda ( Md ),  Krishna ( Dt.) - 521121,  Son/Daughter of Sri. ____________________ do here by declare that I am Paying a Monthly House Rent of Rs. 3900 ( In Words: Rupees Three Thousand Nine Hundreds Only )  For my Residential  accommodation  during  the  Financial  Year  2012-13  relevant to the Assessment Year  2013-14.</v>
      </c>
    </row>
    <row r="36" spans="1:9" ht="15">
      <c r="A36" s="403"/>
      <c r="B36" s="404"/>
      <c r="C36" s="404"/>
      <c r="D36" s="404"/>
      <c r="E36" s="404"/>
      <c r="F36" s="404"/>
      <c r="G36" s="404"/>
      <c r="H36" s="404"/>
      <c r="I36" s="405"/>
    </row>
    <row r="37" spans="1:9" ht="15">
      <c r="A37" s="403"/>
      <c r="B37" s="404"/>
      <c r="C37" s="404"/>
      <c r="D37" s="404"/>
      <c r="E37" s="404"/>
      <c r="F37" s="404"/>
      <c r="G37" s="404"/>
      <c r="H37" s="404"/>
      <c r="I37" s="405"/>
    </row>
    <row r="38" spans="1:9" ht="15">
      <c r="A38" s="403"/>
      <c r="B38" s="404"/>
      <c r="C38" s="404"/>
      <c r="D38" s="404"/>
      <c r="E38" s="404"/>
      <c r="F38" s="404"/>
      <c r="G38" s="404"/>
      <c r="H38" s="404"/>
      <c r="I38" s="405"/>
    </row>
    <row r="39" spans="1:9" ht="15">
      <c r="A39" s="403"/>
      <c r="B39" s="404"/>
      <c r="C39" s="404"/>
      <c r="D39" s="404"/>
      <c r="E39" s="404"/>
      <c r="F39" s="404"/>
      <c r="G39" s="404"/>
      <c r="H39" s="404"/>
      <c r="I39" s="405"/>
    </row>
    <row r="40" spans="1:9" ht="15">
      <c r="A40" s="403"/>
      <c r="B40" s="404"/>
      <c r="C40" s="404"/>
      <c r="D40" s="404"/>
      <c r="E40" s="404"/>
      <c r="F40" s="404"/>
      <c r="G40" s="404"/>
      <c r="H40" s="404"/>
      <c r="I40" s="405"/>
    </row>
    <row r="41" spans="1:9" ht="15">
      <c r="A41" s="403"/>
      <c r="B41" s="404"/>
      <c r="C41" s="404"/>
      <c r="D41" s="404"/>
      <c r="E41" s="404"/>
      <c r="F41" s="404"/>
      <c r="G41" s="404"/>
      <c r="H41" s="404"/>
      <c r="I41" s="405"/>
    </row>
    <row r="42" spans="1:9" ht="15">
      <c r="A42" s="403"/>
      <c r="B42" s="404"/>
      <c r="C42" s="404"/>
      <c r="D42" s="404"/>
      <c r="E42" s="404"/>
      <c r="F42" s="404"/>
      <c r="G42" s="404"/>
      <c r="H42" s="404"/>
      <c r="I42" s="405"/>
    </row>
    <row r="43" spans="1:9" ht="15">
      <c r="A43" s="403"/>
      <c r="B43" s="404"/>
      <c r="C43" s="404"/>
      <c r="D43" s="404"/>
      <c r="E43" s="404"/>
      <c r="F43" s="404"/>
      <c r="G43" s="404"/>
      <c r="H43" s="404"/>
      <c r="I43" s="405"/>
    </row>
    <row r="44" spans="1:9" ht="15">
      <c r="A44" s="142"/>
      <c r="B44" s="143"/>
      <c r="C44" s="143"/>
      <c r="D44" s="143"/>
      <c r="E44" s="143"/>
      <c r="F44" s="143"/>
      <c r="G44" s="143"/>
      <c r="H44" s="143"/>
      <c r="I44" s="144"/>
    </row>
    <row r="45" spans="1:9" ht="15" customHeight="1">
      <c r="A45" s="83" t="s">
        <v>322</v>
      </c>
      <c r="B45" s="84" t="str">
        <f>B18</f>
        <v>Avanigadda</v>
      </c>
      <c r="C45" s="85"/>
      <c r="D45" s="85"/>
      <c r="E45" s="85"/>
      <c r="F45" s="85"/>
      <c r="G45" s="406" t="s">
        <v>323</v>
      </c>
      <c r="H45" s="406"/>
      <c r="I45" s="407"/>
    </row>
    <row r="46" spans="1:9" ht="15">
      <c r="A46" s="83" t="s">
        <v>260</v>
      </c>
      <c r="B46" s="92">
        <f ca="1">NOW()</f>
        <v>41314.935913078705</v>
      </c>
      <c r="C46" s="85"/>
      <c r="D46" s="85"/>
      <c r="E46" s="85"/>
      <c r="F46" s="85"/>
      <c r="G46" s="85"/>
      <c r="H46" s="85"/>
      <c r="I46" s="86"/>
    </row>
    <row r="47" spans="1:9" ht="15">
      <c r="A47" s="5"/>
      <c r="I47" s="6"/>
    </row>
    <row r="48" spans="1:9" ht="15">
      <c r="A48" s="5"/>
      <c r="I48" s="6"/>
    </row>
    <row r="49" spans="1:9" ht="15.75" thickBot="1">
      <c r="A49" s="10"/>
      <c r="B49" s="11"/>
      <c r="C49" s="11"/>
      <c r="D49" s="11"/>
      <c r="E49" s="11"/>
      <c r="F49" s="11"/>
      <c r="G49" s="11"/>
      <c r="H49" s="11"/>
      <c r="I49" s="12"/>
    </row>
    <row r="50" ht="15.75" thickTop="1"/>
  </sheetData>
  <sheetProtection password="C71F" sheet="1"/>
  <mergeCells count="6">
    <mergeCell ref="A1:I1"/>
    <mergeCell ref="A6:I16"/>
    <mergeCell ref="G18:I18"/>
    <mergeCell ref="A28:I28"/>
    <mergeCell ref="A33:I43"/>
    <mergeCell ref="G45:I4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amarnath</cp:lastModifiedBy>
  <cp:lastPrinted>2013-02-09T16:11:39Z</cp:lastPrinted>
  <dcterms:created xsi:type="dcterms:W3CDTF">2012-11-28T03:25:31Z</dcterms:created>
  <dcterms:modified xsi:type="dcterms:W3CDTF">2013-02-09T17:14:37Z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